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global.hitachi.net\GUVPCRootY$\GUJPVP200194224-22897605\MyDocument\デスクトップ\"/>
    </mc:Choice>
  </mc:AlternateContent>
  <xr:revisionPtr revIDLastSave="0" documentId="13_ncr:1_{38FFAF92-0CBB-481F-AE96-3727559DA7EC}" xr6:coauthVersionLast="47" xr6:coauthVersionMax="47" xr10:uidLastSave="{00000000-0000-0000-0000-000000000000}"/>
  <bookViews>
    <workbookView xWindow="-120" yWindow="-120" windowWidth="29040" windowHeight="15990" tabRatio="652" xr2:uid="{00000000-000D-0000-FFFF-FFFF00000000}"/>
  </bookViews>
  <sheets>
    <sheet name="基本情報" sheetId="15" r:id="rId1"/>
    <sheet name="第１群" sheetId="9" r:id="rId2"/>
    <sheet name="第２群" sheetId="8" r:id="rId3"/>
    <sheet name="第３群" sheetId="7" r:id="rId4"/>
    <sheet name="第４群 " sheetId="12" r:id="rId5"/>
    <sheet name="第５群" sheetId="5" r:id="rId6"/>
    <sheet name="第６，７群 " sheetId="13" r:id="rId7"/>
    <sheet name="計算シート" sheetId="14" state="hidden" r:id="rId8"/>
    <sheet name="エラー" sheetId="10" r:id="rId9"/>
    <sheet name="印刷" sheetId="17" r:id="rId10"/>
    <sheet name="訪問調査票" sheetId="2" r:id="rId11"/>
    <sheet name="特記事項" sheetId="4" r:id="rId12"/>
    <sheet name="使用方法" sheetId="11" r:id="rId13"/>
  </sheets>
  <definedNames>
    <definedName name="_xlnm.Print_Area" localSheetId="11">特記事項!$A$1:$AU$87</definedName>
    <definedName name="_xlnm.Print_Area" localSheetId="10">訪問調査票!$A$1:$K$196</definedName>
    <definedName name="えん下１" localSheetId="9">#REF!</definedName>
    <definedName name="えん下１">#REF!</definedName>
    <definedName name="えん下２" localSheetId="9">#REF!</definedName>
    <definedName name="えん下２">#REF!</definedName>
    <definedName name="えん下３" localSheetId="9">#REF!</definedName>
    <definedName name="えん下３">#REF!</definedName>
    <definedName name="カテーテル" localSheetId="9">#REF!</definedName>
    <definedName name="カテーテル">#REF!</definedName>
    <definedName name="グループホーム" localSheetId="9">#REF!</definedName>
    <definedName name="グループホーム">#REF!</definedName>
    <definedName name="ケアハウス" localSheetId="9">#REF!</definedName>
    <definedName name="ケアハウス">#REF!</definedName>
    <definedName name="サービス利用なし" localSheetId="9">#REF!</definedName>
    <definedName name="サービス利用なし">#REF!</definedName>
    <definedName name="サービス利用介護" localSheetId="9">#REF!</definedName>
    <definedName name="サービス利用介護">#REF!</definedName>
    <definedName name="サービス利用総合事業" localSheetId="9">#REF!</definedName>
    <definedName name="サービス利用総合事業">#REF!</definedName>
    <definedName name="じょくそう" localSheetId="9">#REF!</definedName>
    <definedName name="じょくそう">#REF!</definedName>
    <definedName name="ストーマ" localSheetId="9">#REF!</definedName>
    <definedName name="ストーマ">#REF!</definedName>
    <definedName name="ズボン１" localSheetId="9">#REF!</definedName>
    <definedName name="ズボン１">#REF!</definedName>
    <definedName name="ズボン２" localSheetId="9">#REF!</definedName>
    <definedName name="ズボン２">#REF!</definedName>
    <definedName name="ズボン３" localSheetId="9">#REF!</definedName>
    <definedName name="ズボン３">#REF!</definedName>
    <definedName name="ズボン４" localSheetId="9">#REF!</definedName>
    <definedName name="ズボン４">#REF!</definedName>
    <definedName name="その他施設" localSheetId="9">#REF!</definedName>
    <definedName name="その他施設">#REF!</definedName>
    <definedName name="つめ切り１" localSheetId="9">#REF!</definedName>
    <definedName name="つめ切り１">#REF!</definedName>
    <definedName name="つめ切り２" localSheetId="9">#REF!</definedName>
    <definedName name="つめ切り２">#REF!</definedName>
    <definedName name="つめ切り３" localSheetId="9">#REF!</definedName>
    <definedName name="つめ切り３">#REF!</definedName>
    <definedName name="まとまらない１" localSheetId="9">#REF!</definedName>
    <definedName name="まとまらない１">#REF!</definedName>
    <definedName name="まとまらない２" localSheetId="9">#REF!</definedName>
    <definedName name="まとまらない２">#REF!</definedName>
    <definedName name="まとまらない３" localSheetId="9">#REF!</definedName>
    <definedName name="まとまらない３">#REF!</definedName>
    <definedName name="モニター測定" localSheetId="9">#REF!</definedName>
    <definedName name="モニター測定">#REF!</definedName>
    <definedName name="レスピレーター" localSheetId="9">#REF!</definedName>
    <definedName name="レスピレーター">#REF!</definedName>
    <definedName name="意見書使用１" localSheetId="9">#REF!</definedName>
    <definedName name="意見書使用１">#REF!</definedName>
    <definedName name="意見書使用２" localSheetId="9">#REF!</definedName>
    <definedName name="意見書使用２">#REF!</definedName>
    <definedName name="意見書食事行為１" localSheetId="9">#REF!</definedName>
    <definedName name="意見書食事行為１">#REF!</definedName>
    <definedName name="意見書食事行為２" localSheetId="9">#REF!</definedName>
    <definedName name="意見書食事行為２">#REF!</definedName>
    <definedName name="意見書短期記憶１" localSheetId="9">#REF!</definedName>
    <definedName name="意見書短期記憶１">#REF!</definedName>
    <definedName name="意見書短期記憶２" localSheetId="9">#REF!</definedName>
    <definedName name="意見書短期記憶２">#REF!</definedName>
    <definedName name="意見書伝達能力１" localSheetId="9">#REF!</definedName>
    <definedName name="意見書伝達能力１">#REF!</definedName>
    <definedName name="意見書伝達能力２" localSheetId="9">#REF!</definedName>
    <definedName name="意見書伝達能力２">#REF!</definedName>
    <definedName name="意見書伝達能力３" localSheetId="9">#REF!</definedName>
    <definedName name="意見書伝達能力３">#REF!</definedName>
    <definedName name="意見書伝達能力４" localSheetId="9">#REF!</definedName>
    <definedName name="意見書伝達能力４">#REF!</definedName>
    <definedName name="意見書認知能力１" localSheetId="9">#REF!</definedName>
    <definedName name="意見書認知能力１">#REF!</definedName>
    <definedName name="意見書認知能力２" localSheetId="9">#REF!</definedName>
    <definedName name="意見書認知能力２">#REF!</definedName>
    <definedName name="意見書認知能力３" localSheetId="9">#REF!</definedName>
    <definedName name="意見書認知能力３">#REF!</definedName>
    <definedName name="意見書認知能力４" localSheetId="9">#REF!</definedName>
    <definedName name="意見書認知能力４">#REF!</definedName>
    <definedName name="意思決定１" localSheetId="9">#REF!</definedName>
    <definedName name="意思決定１">#REF!</definedName>
    <definedName name="意思決定２" localSheetId="9">#REF!</definedName>
    <definedName name="意思決定２">#REF!</definedName>
    <definedName name="意思決定３" localSheetId="9">#REF!</definedName>
    <definedName name="意思決定３">#REF!</definedName>
    <definedName name="意思決定４" localSheetId="9">#REF!</definedName>
    <definedName name="意思決定４">#REF!</definedName>
    <definedName name="意思伝達１" localSheetId="9">#REF!</definedName>
    <definedName name="意思伝達１">#REF!</definedName>
    <definedName name="意思伝達２" localSheetId="9">#REF!</definedName>
    <definedName name="意思伝達２">#REF!</definedName>
    <definedName name="意思伝達３" localSheetId="9">#REF!</definedName>
    <definedName name="意思伝達３">#REF!</definedName>
    <definedName name="意思伝達４" localSheetId="9">#REF!</definedName>
    <definedName name="意思伝達４">#REF!</definedName>
    <definedName name="移乗１" localSheetId="9">#REF!</definedName>
    <definedName name="移乗１">#REF!</definedName>
    <definedName name="移乗２" localSheetId="9">#REF!</definedName>
    <definedName name="移乗２">#REF!</definedName>
    <definedName name="移乗３" localSheetId="9">#REF!</definedName>
    <definedName name="移乗３">#REF!</definedName>
    <definedName name="移乗４" localSheetId="9">#REF!</definedName>
    <definedName name="移乗４">#REF!</definedName>
    <definedName name="移動１" localSheetId="9">#REF!</definedName>
    <definedName name="移動１">#REF!</definedName>
    <definedName name="移動２" localSheetId="9">#REF!</definedName>
    <definedName name="移動２">#REF!</definedName>
    <definedName name="移動３" localSheetId="9">#REF!</definedName>
    <definedName name="移動３">#REF!</definedName>
    <definedName name="移動４" localSheetId="9">#REF!</definedName>
    <definedName name="移動４">#REF!</definedName>
    <definedName name="医療機関療養" localSheetId="9">#REF!</definedName>
    <definedName name="医療機関療養">#REF!</definedName>
    <definedName name="医療機関療養以外" localSheetId="9">#REF!</definedName>
    <definedName name="医療機関療養以外">#REF!</definedName>
    <definedName name="医療合計" localSheetId="9">#REF!</definedName>
    <definedName name="医療合計">#REF!</definedName>
    <definedName name="介護抵抗" localSheetId="9">#REF!</definedName>
    <definedName name="介護抵抗">#REF!</definedName>
    <definedName name="介護抵抗１" localSheetId="9">#REF!</definedName>
    <definedName name="介護抵抗１">#REF!</definedName>
    <definedName name="介護抵抗２" localSheetId="9">#REF!</definedName>
    <definedName name="介護抵抗２">#REF!</definedName>
    <definedName name="介護抵抗３" localSheetId="9">#REF!</definedName>
    <definedName name="介護抵抗３">#REF!</definedName>
    <definedName name="回答個数合計" localSheetId="9">#REF!</definedName>
    <definedName name="回答個数合計">#REF!</definedName>
    <definedName name="壊す１" localSheetId="9">#REF!</definedName>
    <definedName name="壊す１">#REF!</definedName>
    <definedName name="壊す２" localSheetId="9">#REF!</definedName>
    <definedName name="壊す２">#REF!</definedName>
    <definedName name="壊す３" localSheetId="9">#REF!</definedName>
    <definedName name="壊す３">#REF!</definedName>
    <definedName name="外出１" localSheetId="9">#REF!</definedName>
    <definedName name="外出１">#REF!</definedName>
    <definedName name="外出２" localSheetId="9">#REF!</definedName>
    <definedName name="外出２">#REF!</definedName>
    <definedName name="外出３" localSheetId="9">#REF!</definedName>
    <definedName name="外出３">#REF!</definedName>
    <definedName name="外出戻れない１" localSheetId="9">#REF!</definedName>
    <definedName name="外出戻れない１">#REF!</definedName>
    <definedName name="外出戻れない２" localSheetId="9">#REF!</definedName>
    <definedName name="外出戻れない２">#REF!</definedName>
    <definedName name="外出戻れない３" localSheetId="9">#REF!</definedName>
    <definedName name="外出戻れない３">#REF!</definedName>
    <definedName name="感情１" localSheetId="9">#REF!</definedName>
    <definedName name="感情１">#REF!</definedName>
    <definedName name="感情２" localSheetId="9">#REF!</definedName>
    <definedName name="感情２">#REF!</definedName>
    <definedName name="感情３" localSheetId="9">#REF!</definedName>
    <definedName name="感情３">#REF!</definedName>
    <definedName name="看護小規模" localSheetId="9">#REF!</definedName>
    <definedName name="看護小規模">#REF!</definedName>
    <definedName name="関係" localSheetId="9">#REF!</definedName>
    <definedName name="関係">#REF!</definedName>
    <definedName name="気管切開" localSheetId="9">#REF!</definedName>
    <definedName name="気管切開">#REF!</definedName>
    <definedName name="季節理解１" localSheetId="9">#REF!</definedName>
    <definedName name="季節理解１">#REF!</definedName>
    <definedName name="季節理解２" localSheetId="9">#REF!</definedName>
    <definedName name="季節理解２">#REF!</definedName>
    <definedName name="起き上がりつかまれば可" localSheetId="9">#REF!</definedName>
    <definedName name="起き上がりつかまれば可">#REF!</definedName>
    <definedName name="起き上がりできない" localSheetId="9">#REF!</definedName>
    <definedName name="起き上がりできない">#REF!</definedName>
    <definedName name="起き上がりできる" localSheetId="9">#REF!</definedName>
    <definedName name="起き上がりできる">#REF!</definedName>
    <definedName name="金銭管理１" localSheetId="9">#REF!</definedName>
    <definedName name="金銭管理１">#REF!</definedName>
    <definedName name="金銭管理２" localSheetId="9">#REF!</definedName>
    <definedName name="金銭管理２">#REF!</definedName>
    <definedName name="金銭管理３" localSheetId="9">#REF!</definedName>
    <definedName name="金銭管理３">#REF!</definedName>
    <definedName name="経管栄養" localSheetId="9">#REF!</definedName>
    <definedName name="経管栄養">#REF!</definedName>
    <definedName name="現住所１" localSheetId="9">#REF!</definedName>
    <definedName name="現住所１">#REF!</definedName>
    <definedName name="現住所２" localSheetId="9">#REF!</definedName>
    <definedName name="現住所２">#REF!</definedName>
    <definedName name="現住所電話番号" localSheetId="9">#REF!</definedName>
    <definedName name="現住所電話番号">#REF!</definedName>
    <definedName name="現住所郵便番号" localSheetId="9">#REF!</definedName>
    <definedName name="現住所郵便番号">#REF!</definedName>
    <definedName name="口腔清潔１" localSheetId="9">#REF!</definedName>
    <definedName name="口腔清潔１">#REF!</definedName>
    <definedName name="口腔清潔２" localSheetId="9">#REF!</definedName>
    <definedName name="口腔清潔２">#REF!</definedName>
    <definedName name="口腔清潔３" localSheetId="9">#REF!</definedName>
    <definedName name="口腔清潔３">#REF!</definedName>
    <definedName name="拘縮その他" localSheetId="9">#REF!</definedName>
    <definedName name="拘縮その他">#REF!</definedName>
    <definedName name="拘縮肩関節" localSheetId="9">#REF!</definedName>
    <definedName name="拘縮肩関節">#REF!</definedName>
    <definedName name="拘縮股関節" localSheetId="9">#REF!</definedName>
    <definedName name="拘縮股関節">#REF!</definedName>
    <definedName name="拘縮合計" localSheetId="9">#REF!</definedName>
    <definedName name="拘縮合計">#REF!</definedName>
    <definedName name="拘縮膝関節" localSheetId="9">#REF!</definedName>
    <definedName name="拘縮膝関節">#REF!</definedName>
    <definedName name="座位保持できない" localSheetId="9">#REF!</definedName>
    <definedName name="座位保持できない">#REF!</definedName>
    <definedName name="座位保持できる" localSheetId="9">#REF!</definedName>
    <definedName name="座位保持できる">#REF!</definedName>
    <definedName name="座位保持支え必要" localSheetId="9">#REF!</definedName>
    <definedName name="座位保持支え必要">#REF!</definedName>
    <definedName name="座位保持自分で可" localSheetId="9">#REF!</definedName>
    <definedName name="座位保持自分で可">#REF!</definedName>
    <definedName name="作話１" localSheetId="9">#REF!</definedName>
    <definedName name="作話１">#REF!</definedName>
    <definedName name="作話２" localSheetId="9">#REF!</definedName>
    <definedName name="作話２">#REF!</definedName>
    <definedName name="作話３" localSheetId="9">#REF!</definedName>
    <definedName name="作話３">#REF!</definedName>
    <definedName name="酸素療法" localSheetId="9">#REF!</definedName>
    <definedName name="酸素療法">#REF!</definedName>
    <definedName name="市町村特別給付" localSheetId="9">#REF!</definedName>
    <definedName name="市町村特別給付">#REF!</definedName>
    <definedName name="市町村特別給付有無" localSheetId="9">#REF!</definedName>
    <definedName name="市町村特別給付有無">#REF!</definedName>
    <definedName name="氏名" localSheetId="9">#REF!</definedName>
    <definedName name="氏名">#REF!</definedName>
    <definedName name="視力１" localSheetId="9">#REF!</definedName>
    <definedName name="視力１">#REF!</definedName>
    <definedName name="視力２" localSheetId="9">#REF!</definedName>
    <definedName name="視力２">#REF!</definedName>
    <definedName name="視力３" localSheetId="9">#REF!</definedName>
    <definedName name="視力３">#REF!</definedName>
    <definedName name="視力４" localSheetId="9">#REF!</definedName>
    <definedName name="視力４">#REF!</definedName>
    <definedName name="視力５" localSheetId="9">#REF!</definedName>
    <definedName name="視力５">#REF!</definedName>
    <definedName name="自分勝手１" localSheetId="9">#REF!</definedName>
    <definedName name="自分勝手１">#REF!</definedName>
    <definedName name="自分勝手２" localSheetId="9">#REF!</definedName>
    <definedName name="自分勝手２">#REF!</definedName>
    <definedName name="自分勝手３" localSheetId="9">#REF!</definedName>
    <definedName name="自分勝手３">#REF!</definedName>
    <definedName name="実施日月" localSheetId="9">#REF!</definedName>
    <definedName name="実施日月">#REF!</definedName>
    <definedName name="実施日日" localSheetId="9">#REF!</definedName>
    <definedName name="実施日日">#REF!</definedName>
    <definedName name="実施日年" localSheetId="9">#REF!</definedName>
    <definedName name="実施日年">#REF!</definedName>
    <definedName name="収集癖１" localSheetId="9">#REF!</definedName>
    <definedName name="収集癖１">#REF!</definedName>
    <definedName name="収集癖２" localSheetId="9">#REF!</definedName>
    <definedName name="収集癖２">#REF!</definedName>
    <definedName name="収集癖３" localSheetId="9">#REF!</definedName>
    <definedName name="収集癖３">#REF!</definedName>
    <definedName name="住宅改修無" localSheetId="9">#REF!</definedName>
    <definedName name="住宅改修無">#REF!</definedName>
    <definedName name="住宅改修有" localSheetId="9">#REF!</definedName>
    <definedName name="住宅改修有">#REF!</definedName>
    <definedName name="出たがる１" localSheetId="9">#REF!</definedName>
    <definedName name="出たがる１">#REF!</definedName>
    <definedName name="出たがる２" localSheetId="9">#REF!</definedName>
    <definedName name="出たがる２">#REF!</definedName>
    <definedName name="出たがる３" localSheetId="9">#REF!</definedName>
    <definedName name="出たがる３">#REF!</definedName>
    <definedName name="小規模住宅" localSheetId="9">#REF!</definedName>
    <definedName name="小規模住宅">#REF!</definedName>
    <definedName name="障害高齢者自立度１" localSheetId="9">#REF!</definedName>
    <definedName name="障害高齢者自立度１">#REF!</definedName>
    <definedName name="障害高齢者自立度２" localSheetId="9">#REF!</definedName>
    <definedName name="障害高齢者自立度２">#REF!</definedName>
    <definedName name="障害高齢者自立度３" localSheetId="9">#REF!</definedName>
    <definedName name="障害高齢者自立度３">#REF!</definedName>
    <definedName name="障害高齢者自立度４" localSheetId="9">#REF!</definedName>
    <definedName name="障害高齢者自立度４">#REF!</definedName>
    <definedName name="障害高齢者自立度５" localSheetId="9">#REF!</definedName>
    <definedName name="障害高齢者自立度５">#REF!</definedName>
    <definedName name="障害高齢者自立度６" localSheetId="9">#REF!</definedName>
    <definedName name="障害高齢者自立度６">#REF!</definedName>
    <definedName name="障害高齢者自立度７" localSheetId="9">#REF!</definedName>
    <definedName name="障害高齢者自立度７">#REF!</definedName>
    <definedName name="障害高齢者自立度８" localSheetId="9">#REF!</definedName>
    <definedName name="障害高齢者自立度８">#REF!</definedName>
    <definedName name="障害高齢者自立度９" localSheetId="9">#REF!</definedName>
    <definedName name="障害高齢者自立度９">#REF!</definedName>
    <definedName name="障害日常生活自立度１" localSheetId="9">#REF!</definedName>
    <definedName name="障害日常生活自立度１">#REF!</definedName>
    <definedName name="障害日常生活自立度２" localSheetId="9">#REF!</definedName>
    <definedName name="障害日常生活自立度２">#REF!</definedName>
    <definedName name="障害日常生活自立度３" localSheetId="9">#REF!</definedName>
    <definedName name="障害日常生活自立度３">#REF!</definedName>
    <definedName name="障害日常生活自立度４" localSheetId="9">#REF!</definedName>
    <definedName name="障害日常生活自立度４">#REF!</definedName>
    <definedName name="障害日常生活自立度５" localSheetId="9">#REF!</definedName>
    <definedName name="障害日常生活自立度５">#REF!</definedName>
    <definedName name="障害日常生活自立度６" localSheetId="9">#REF!</definedName>
    <definedName name="障害日常生活自立度６">#REF!</definedName>
    <definedName name="障害日常生活自立度７" localSheetId="9">#REF!</definedName>
    <definedName name="障害日常生活自立度７">#REF!</definedName>
    <definedName name="障害日常生活自立度８" localSheetId="9">#REF!</definedName>
    <definedName name="障害日常生活自立度８">#REF!</definedName>
    <definedName name="障害日常生活自立度９" localSheetId="9">#REF!</definedName>
    <definedName name="障害日常生活自立度９">#REF!</definedName>
    <definedName name="上衣１" localSheetId="9">#REF!</definedName>
    <definedName name="上衣１">#REF!</definedName>
    <definedName name="上衣２" localSheetId="9">#REF!</definedName>
    <definedName name="上衣２">#REF!</definedName>
    <definedName name="上衣３" localSheetId="9">#REF!</definedName>
    <definedName name="上衣３">#REF!</definedName>
    <definedName name="上衣４" localSheetId="9">#REF!</definedName>
    <definedName name="上衣４">#REF!</definedName>
    <definedName name="場所理解１" localSheetId="9">#REF!</definedName>
    <definedName name="場所理解１">#REF!</definedName>
    <definedName name="場所理解２" localSheetId="9">#REF!</definedName>
    <definedName name="場所理解２">#REF!</definedName>
    <definedName name="食事摂取１" localSheetId="9">#REF!</definedName>
    <definedName name="食事摂取１">#REF!</definedName>
    <definedName name="食事摂取２" localSheetId="9">#REF!</definedName>
    <definedName name="食事摂取２">#REF!</definedName>
    <definedName name="食事摂取３" localSheetId="9">#REF!</definedName>
    <definedName name="食事摂取３">#REF!</definedName>
    <definedName name="食事摂取４" localSheetId="9">#REF!</definedName>
    <definedName name="食事摂取４">#REF!</definedName>
    <definedName name="寝返りつかまれば可" localSheetId="9">#REF!</definedName>
    <definedName name="寝返りつかまれば可">#REF!</definedName>
    <definedName name="寝返りできない" localSheetId="9">#REF!</definedName>
    <definedName name="寝返りできない">#REF!</definedName>
    <definedName name="寝返りできる" localSheetId="9">#REF!</definedName>
    <definedName name="寝返りできる">#REF!</definedName>
    <definedName name="性別" localSheetId="9">#REF!</definedName>
    <definedName name="性別">#REF!</definedName>
    <definedName name="性別女" localSheetId="9">#REF!</definedName>
    <definedName name="性別女">#REF!</definedName>
    <definedName name="性別男" localSheetId="9">#REF!</definedName>
    <definedName name="性別男">#REF!</definedName>
    <definedName name="整髪１" localSheetId="9">#REF!</definedName>
    <definedName name="整髪１">#REF!</definedName>
    <definedName name="整髪２" localSheetId="9">#REF!</definedName>
    <definedName name="整髪２">#REF!</definedName>
    <definedName name="整髪３" localSheetId="9">#REF!</definedName>
    <definedName name="整髪３">#REF!</definedName>
    <definedName name="生年月日月" localSheetId="9">#REF!</definedName>
    <definedName name="生年月日月">#REF!</definedName>
    <definedName name="生年月日昭和" localSheetId="9">#REF!</definedName>
    <definedName name="生年月日昭和">#REF!</definedName>
    <definedName name="生年月日大正" localSheetId="9">#REF!</definedName>
    <definedName name="生年月日大正">#REF!</definedName>
    <definedName name="生年月日日" localSheetId="9">#REF!</definedName>
    <definedName name="生年月日日">#REF!</definedName>
    <definedName name="生年月日年" localSheetId="9">#REF!</definedName>
    <definedName name="生年月日年">#REF!</definedName>
    <definedName name="生年月日明治" localSheetId="9">#REF!</definedName>
    <definedName name="生年月日明治">#REF!</definedName>
    <definedName name="洗顔１" localSheetId="9">#REF!</definedName>
    <definedName name="洗顔１">#REF!</definedName>
    <definedName name="洗顔２" localSheetId="9">#REF!</definedName>
    <definedName name="洗顔２">#REF!</definedName>
    <definedName name="洗顔３" localSheetId="9">#REF!</definedName>
    <definedName name="洗顔３">#REF!</definedName>
    <definedName name="洗身１" localSheetId="9">#REF!</definedName>
    <definedName name="洗身１">#REF!</definedName>
    <definedName name="洗身２" localSheetId="9">#REF!</definedName>
    <definedName name="洗身２">#REF!</definedName>
    <definedName name="洗身３" localSheetId="9">#REF!</definedName>
    <definedName name="洗身３">#REF!</definedName>
    <definedName name="洗身４" localSheetId="9">#REF!</definedName>
    <definedName name="洗身４">#REF!</definedName>
    <definedName name="他在宅サービス" localSheetId="9">#REF!</definedName>
    <definedName name="他在宅サービス">#REF!</definedName>
    <definedName name="他在宅サービス有無" localSheetId="9">#REF!</definedName>
    <definedName name="他在宅サービス有無">#REF!</definedName>
    <definedName name="大声１" localSheetId="9">#REF!</definedName>
    <definedName name="大声１">#REF!</definedName>
    <definedName name="大声２" localSheetId="9">#REF!</definedName>
    <definedName name="大声２">#REF!</definedName>
    <definedName name="大声３" localSheetId="9">#REF!</definedName>
    <definedName name="大声３">#REF!</definedName>
    <definedName name="短期記憶１" localSheetId="9">#REF!</definedName>
    <definedName name="短期記憶１">#REF!</definedName>
    <definedName name="短期記憶２" localSheetId="9">#REF!</definedName>
    <definedName name="短期記憶２">#REF!</definedName>
    <definedName name="短期生活" localSheetId="9">#REF!</definedName>
    <definedName name="短期生活">#REF!</definedName>
    <definedName name="短期療養" localSheetId="9">#REF!</definedName>
    <definedName name="短期療養">#REF!</definedName>
    <definedName name="地域特定" localSheetId="9">#REF!</definedName>
    <definedName name="地域特定">#REF!</definedName>
    <definedName name="地域福祉" localSheetId="9">#REF!</definedName>
    <definedName name="地域福祉">#REF!</definedName>
    <definedName name="中心静脈栄養" localSheetId="9">#REF!</definedName>
    <definedName name="中心静脈栄養">#REF!</definedName>
    <definedName name="昼夜１" localSheetId="9">#REF!</definedName>
    <definedName name="昼夜１">#REF!</definedName>
    <definedName name="昼夜２" localSheetId="9">#REF!</definedName>
    <definedName name="昼夜２">#REF!</definedName>
    <definedName name="昼夜３" localSheetId="9">#REF!</definedName>
    <definedName name="昼夜３">#REF!</definedName>
    <definedName name="聴力１" localSheetId="9">#REF!</definedName>
    <definedName name="聴力１">#REF!</definedName>
    <definedName name="聴力２" localSheetId="9">#REF!</definedName>
    <definedName name="聴力２">#REF!</definedName>
    <definedName name="聴力３" localSheetId="9">#REF!</definedName>
    <definedName name="聴力３">#REF!</definedName>
    <definedName name="聴力４" localSheetId="9">#REF!</definedName>
    <definedName name="聴力４">#REF!</definedName>
    <definedName name="聴力５" localSheetId="9">#REF!</definedName>
    <definedName name="聴力５">#REF!</definedName>
    <definedName name="調査員氏名" localSheetId="9">#REF!</definedName>
    <definedName name="調査員氏名">#REF!</definedName>
    <definedName name="調査員所属機関" localSheetId="9">#REF!</definedName>
    <definedName name="調査員所属機関">#REF!</definedName>
    <definedName name="調査員番号" localSheetId="9">#REF!</definedName>
    <definedName name="調査員番号">#REF!</definedName>
    <definedName name="調理１" localSheetId="9">#REF!</definedName>
    <definedName name="調理１">#REF!</definedName>
    <definedName name="調理２" localSheetId="9">#REF!</definedName>
    <definedName name="調理２">#REF!</definedName>
    <definedName name="調理３" localSheetId="9">#REF!</definedName>
    <definedName name="調理３">#REF!</definedName>
    <definedName name="調理４" localSheetId="9">#REF!</definedName>
    <definedName name="調理４">#REF!</definedName>
    <definedName name="通所リハ" localSheetId="9">#REF!</definedName>
    <definedName name="通所リハ">#REF!</definedName>
    <definedName name="通所介護" localSheetId="9">#REF!</definedName>
    <definedName name="通所介護">#REF!</definedName>
    <definedName name="定期巡回" localSheetId="9">#REF!</definedName>
    <definedName name="定期巡回">#REF!</definedName>
    <definedName name="点滴" localSheetId="9">#REF!</definedName>
    <definedName name="点滴">#REF!</definedName>
    <definedName name="透析" localSheetId="9">#REF!</definedName>
    <definedName name="透析">#REF!</definedName>
    <definedName name="同じ話１" localSheetId="9">#REF!</definedName>
    <definedName name="同じ話１">#REF!</definedName>
    <definedName name="同じ話２" localSheetId="9">#REF!</definedName>
    <definedName name="同じ話２">#REF!</definedName>
    <definedName name="同じ話３" localSheetId="9">#REF!</definedName>
    <definedName name="同じ話３">#REF!</definedName>
    <definedName name="特記事項" localSheetId="9">#REF!</definedName>
    <definedName name="特記事項">#REF!</definedName>
    <definedName name="特定施設" localSheetId="9">#REF!</definedName>
    <definedName name="特定施設">#REF!</definedName>
    <definedName name="独り言１" localSheetId="9">#REF!</definedName>
    <definedName name="独り言１">#REF!</definedName>
    <definedName name="独り言２" localSheetId="9">#REF!</definedName>
    <definedName name="独り言２">#REF!</definedName>
    <definedName name="独り言３" localSheetId="9">#REF!</definedName>
    <definedName name="独り言３">#REF!</definedName>
    <definedName name="日課理解１" localSheetId="9">#REF!</definedName>
    <definedName name="日課理解１">#REF!</definedName>
    <definedName name="日課理解２" localSheetId="9">#REF!</definedName>
    <definedName name="日課理解２">#REF!</definedName>
    <definedName name="認知共同" localSheetId="9">#REF!</definedName>
    <definedName name="認知共同">#REF!</definedName>
    <definedName name="認知証高齢者自立度１" localSheetId="9">#REF!</definedName>
    <definedName name="認知証高齢者自立度１">#REF!</definedName>
    <definedName name="認知証高齢者自立度２" localSheetId="9">#REF!</definedName>
    <definedName name="認知証高齢者自立度２">#REF!</definedName>
    <definedName name="認知証高齢者自立度３" localSheetId="9">#REF!</definedName>
    <definedName name="認知証高齢者自立度３">#REF!</definedName>
    <definedName name="認知証高齢者自立度４" localSheetId="9">#REF!</definedName>
    <definedName name="認知証高齢者自立度４">#REF!</definedName>
    <definedName name="認知証高齢者自立度５" localSheetId="9">#REF!</definedName>
    <definedName name="認知証高齢者自立度５">#REF!</definedName>
    <definedName name="認知証高齢者自立度６" localSheetId="9">#REF!</definedName>
    <definedName name="認知証高齢者自立度６">#REF!</definedName>
    <definedName name="認知証高齢者自立度７" localSheetId="9">#REF!</definedName>
    <definedName name="認知証高齢者自立度７">#REF!</definedName>
    <definedName name="認知証高齢者自立度８" localSheetId="9">#REF!</definedName>
    <definedName name="認知証高齢者自立度８">#REF!</definedName>
    <definedName name="認知通所" localSheetId="9">#REF!</definedName>
    <definedName name="認知通所">#REF!</definedName>
    <definedName name="認知日常生活自立度１" localSheetId="9">#REF!</definedName>
    <definedName name="認知日常生活自立度１">#REF!</definedName>
    <definedName name="認知日常生活自立度２" localSheetId="9">#REF!</definedName>
    <definedName name="認知日常生活自立度２">#REF!</definedName>
    <definedName name="認知日常生活自立度３" localSheetId="9">#REF!</definedName>
    <definedName name="認知日常生活自立度３">#REF!</definedName>
    <definedName name="認知日常生活自立度４" localSheetId="9">#REF!</definedName>
    <definedName name="認知日常生活自立度４">#REF!</definedName>
    <definedName name="認知日常生活自立度５" localSheetId="9">#REF!</definedName>
    <definedName name="認知日常生活自立度５">#REF!</definedName>
    <definedName name="認知日常生活自立度６" localSheetId="9">#REF!</definedName>
    <definedName name="認知日常生活自立度６">#REF!</definedName>
    <definedName name="認知日常生活自立度７" localSheetId="9">#REF!</definedName>
    <definedName name="認知日常生活自立度７">#REF!</definedName>
    <definedName name="認知日常生活自立度８" localSheetId="9">#REF!</definedName>
    <definedName name="認知日常生活自立度８">#REF!</definedName>
    <definedName name="年齢" localSheetId="9">#REF!</definedName>
    <definedName name="年齢">#REF!</definedName>
    <definedName name="年齢言う１" localSheetId="9">#REF!</definedName>
    <definedName name="年齢言う１">#REF!</definedName>
    <definedName name="年齢言う２" localSheetId="9">#REF!</definedName>
    <definedName name="年齢言う２">#REF!</definedName>
    <definedName name="排尿１" localSheetId="9">#REF!</definedName>
    <definedName name="排尿１">#REF!</definedName>
    <definedName name="排尿２" localSheetId="9">#REF!</definedName>
    <definedName name="排尿２">#REF!</definedName>
    <definedName name="排尿３" localSheetId="9">#REF!</definedName>
    <definedName name="排尿３">#REF!</definedName>
    <definedName name="排尿４" localSheetId="9">#REF!</definedName>
    <definedName name="排尿４">#REF!</definedName>
    <definedName name="排便１" localSheetId="9">#REF!</definedName>
    <definedName name="排便１">#REF!</definedName>
    <definedName name="排便２" localSheetId="9">#REF!</definedName>
    <definedName name="排便２">#REF!</definedName>
    <definedName name="排便３" localSheetId="9">#REF!</definedName>
    <definedName name="排便３">#REF!</definedName>
    <definedName name="排便４" localSheetId="9">#REF!</definedName>
    <definedName name="排便４">#REF!</definedName>
    <definedName name="買い物１" localSheetId="9">#REF!</definedName>
    <definedName name="買い物１">#REF!</definedName>
    <definedName name="買い物２" localSheetId="9">#REF!</definedName>
    <definedName name="買い物２">#REF!</definedName>
    <definedName name="買い物３" localSheetId="9">#REF!</definedName>
    <definedName name="買い物３">#REF!</definedName>
    <definedName name="買い物４" localSheetId="9">#REF!</definedName>
    <definedName name="買い物４">#REF!</definedName>
    <definedName name="被害的１" localSheetId="9">#REF!</definedName>
    <definedName name="被害的１">#REF!</definedName>
    <definedName name="被害的２" localSheetId="9">#REF!</definedName>
    <definedName name="被害的２">#REF!</definedName>
    <definedName name="被害的３" localSheetId="9">#REF!</definedName>
    <definedName name="被害的３">#REF!</definedName>
    <definedName name="被保険者番号" localSheetId="9">#REF!</definedName>
    <definedName name="被保険者番号">#REF!</definedName>
    <definedName name="不適応１" localSheetId="9">#REF!</definedName>
    <definedName name="不適応１">#REF!</definedName>
    <definedName name="不適応２" localSheetId="9">#REF!</definedName>
    <definedName name="不適応２">#REF!</definedName>
    <definedName name="不適応３" localSheetId="9">#REF!</definedName>
    <definedName name="不適応３">#REF!</definedName>
    <definedName name="物忘３" localSheetId="9">#REF!</definedName>
    <definedName name="物忘３">#REF!</definedName>
    <definedName name="物忘れ１" localSheetId="9">#REF!</definedName>
    <definedName name="物忘れ１">#REF!</definedName>
    <definedName name="物忘れ２" localSheetId="9">#REF!</definedName>
    <definedName name="物忘れ２">#REF!</definedName>
    <definedName name="物忘れ３" localSheetId="9">#REF!</definedName>
    <definedName name="物忘れ３">#REF!</definedName>
    <definedName name="片足立位１" localSheetId="9">#REF!</definedName>
    <definedName name="片足立位１">#REF!</definedName>
    <definedName name="片足立位２" localSheetId="9">#REF!</definedName>
    <definedName name="片足立位２">#REF!</definedName>
    <definedName name="片足立位３" localSheetId="9">#REF!</definedName>
    <definedName name="片足立位３">#REF!</definedName>
    <definedName name="保険者番号" localSheetId="9">#REF!</definedName>
    <definedName name="保険者番号">#REF!</definedName>
    <definedName name="歩行１" localSheetId="9">#REF!</definedName>
    <definedName name="歩行１">#REF!</definedName>
    <definedName name="歩行２" localSheetId="9">#REF!</definedName>
    <definedName name="歩行２">#REF!</definedName>
    <definedName name="歩行３" localSheetId="9">#REF!</definedName>
    <definedName name="歩行３">#REF!</definedName>
    <definedName name="歩行できる" localSheetId="9">#REF!</definedName>
    <definedName name="歩行できる">#REF!</definedName>
    <definedName name="訪問リハ" localSheetId="9">#REF!</definedName>
    <definedName name="訪問リハ">#REF!</definedName>
    <definedName name="訪問介護" localSheetId="9">#REF!</definedName>
    <definedName name="訪問介護">#REF!</definedName>
    <definedName name="訪問看護" localSheetId="9">#REF!</definedName>
    <definedName name="訪問看護">#REF!</definedName>
    <definedName name="訪問入浴" localSheetId="9">#REF!</definedName>
    <definedName name="訪問入浴">#REF!</definedName>
    <definedName name="麻痺その他" localSheetId="9">#REF!</definedName>
    <definedName name="麻痺その他">#REF!</definedName>
    <definedName name="麻痺右下肢" localSheetId="9">#REF!</definedName>
    <definedName name="麻痺右下肢">#REF!</definedName>
    <definedName name="麻痺右上肢" localSheetId="9">#REF!</definedName>
    <definedName name="麻痺右上肢">#REF!</definedName>
    <definedName name="麻痺合計" localSheetId="9">#REF!</definedName>
    <definedName name="麻痺合計">#REF!</definedName>
    <definedName name="麻痺左下肢" localSheetId="9">#REF!</definedName>
    <definedName name="麻痺左下肢">#REF!</definedName>
    <definedName name="麻痺左上肢" localSheetId="9">#REF!</definedName>
    <definedName name="麻痺左上肢">#REF!</definedName>
    <definedName name="名前言う１" localSheetId="9">#REF!</definedName>
    <definedName name="名前言う１">#REF!</definedName>
    <definedName name="名前言う２" localSheetId="9">#REF!</definedName>
    <definedName name="名前言う２">#REF!</definedName>
    <definedName name="夜間訪問" localSheetId="9">#REF!</definedName>
    <definedName name="夜間訪問">#REF!</definedName>
    <definedName name="薬内服１" localSheetId="9">#REF!</definedName>
    <definedName name="薬内服１">#REF!</definedName>
    <definedName name="薬内服２" localSheetId="9">#REF!</definedName>
    <definedName name="薬内服２">#REF!</definedName>
    <definedName name="薬内服３" localSheetId="9">#REF!</definedName>
    <definedName name="薬内服３">#REF!</definedName>
    <definedName name="用具貸与" localSheetId="9">#REF!</definedName>
    <definedName name="用具貸与">#REF!</definedName>
    <definedName name="用具販売" localSheetId="9">#REF!</definedName>
    <definedName name="用具販売">#REF!</definedName>
    <definedName name="落ち着き１" localSheetId="9">#REF!</definedName>
    <definedName name="落ち着き１">#REF!</definedName>
    <definedName name="落ち着き２" localSheetId="9">#REF!</definedName>
    <definedName name="落ち着き２">#REF!</definedName>
    <definedName name="落ち着き３" localSheetId="9">#REF!</definedName>
    <definedName name="落ち着き３">#REF!</definedName>
    <definedName name="立ち上がり１" localSheetId="9">#REF!</definedName>
    <definedName name="立ち上がり１">#REF!</definedName>
    <definedName name="立ち上がり２" localSheetId="9">#REF!</definedName>
    <definedName name="立ち上がり２">#REF!</definedName>
    <definedName name="立ち上がり３" localSheetId="9">#REF!</definedName>
    <definedName name="立ち上がり３">#REF!</definedName>
    <definedName name="両足立位できない" localSheetId="9">#REF!</definedName>
    <definedName name="両足立位できない">#REF!</definedName>
    <definedName name="両足立位できる" localSheetId="9">#REF!</definedName>
    <definedName name="両足立位できる">#REF!</definedName>
    <definedName name="両足立位支えが必要" localSheetId="9">#REF!</definedName>
    <definedName name="両足立位支えが必要">#REF!</definedName>
    <definedName name="療養型医療施設" localSheetId="9">#REF!</definedName>
    <definedName name="療養型医療施設">#REF!</definedName>
    <definedName name="療養指導" localSheetId="9">#REF!</definedName>
    <definedName name="療養指導">#REF!</definedName>
    <definedName name="連絡先氏名" localSheetId="9">#REF!</definedName>
    <definedName name="連絡先氏名">#REF!</definedName>
    <definedName name="連絡先住所１" localSheetId="9">#REF!</definedName>
    <definedName name="連絡先住所１">#REF!</definedName>
    <definedName name="連絡先住所２" localSheetId="9">#REF!</definedName>
    <definedName name="連絡先住所２">#REF!</definedName>
    <definedName name="連絡先住所郵便番号" localSheetId="9">#REF!</definedName>
    <definedName name="連絡先住所郵便番号">#REF!</definedName>
    <definedName name="連絡先電話番号" localSheetId="9">#REF!</definedName>
    <definedName name="連絡先電話番号">#REF!</definedName>
    <definedName name="老人福祉施設" localSheetId="9">#REF!</definedName>
    <definedName name="老人福祉施設">#REF!</definedName>
    <definedName name="老人保健施設" localSheetId="9">#REF!</definedName>
    <definedName name="老人保健施設">#REF!</definedName>
    <definedName name="徘徊１" localSheetId="9">#REF!</definedName>
    <definedName name="徘徊１">#REF!</definedName>
    <definedName name="徘徊２" localSheetId="9">#REF!</definedName>
    <definedName name="徘徊２">#REF!</definedName>
    <definedName name="徘徊３" localSheetId="9">#REF!</definedName>
    <definedName name="徘徊３">#REF!</definedName>
    <definedName name="疼痛看護" localSheetId="9">#REF!</definedName>
    <definedName name="疼痛看護">#REF!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3" i="10" l="1"/>
  <c r="B17" i="10" l="1"/>
  <c r="C54" i="14"/>
  <c r="N4" i="15"/>
  <c r="B18" i="10" l="1"/>
  <c r="S52" i="10" l="1"/>
  <c r="B19" i="10" l="1"/>
  <c r="B20" i="10"/>
  <c r="B24" i="10" s="1"/>
  <c r="B21" i="10"/>
  <c r="Q18" i="14"/>
  <c r="U18" i="14"/>
  <c r="V17" i="14" s="1"/>
  <c r="U17" i="14" l="1"/>
  <c r="B54" i="14" l="1"/>
  <c r="L26" i="15" l="1"/>
  <c r="B52" i="14"/>
  <c r="B51" i="14"/>
  <c r="N5" i="15" l="1"/>
  <c r="N6" i="15"/>
  <c r="N7" i="15"/>
  <c r="N8" i="15"/>
  <c r="N9" i="15"/>
  <c r="N10" i="15"/>
  <c r="N11" i="15"/>
  <c r="N12" i="15"/>
  <c r="N13" i="15"/>
  <c r="N14" i="15"/>
  <c r="N15" i="15"/>
  <c r="N16" i="15"/>
  <c r="N17" i="15"/>
  <c r="N18" i="15"/>
  <c r="N19" i="15"/>
  <c r="N20" i="15"/>
  <c r="N21" i="15"/>
  <c r="O21" i="15"/>
  <c r="N22" i="15"/>
  <c r="N23" i="15"/>
  <c r="N24" i="15"/>
  <c r="N25" i="15"/>
  <c r="B51" i="8" l="1"/>
  <c r="I50" i="5" l="1"/>
  <c r="I41" i="5"/>
  <c r="I32" i="5"/>
  <c r="I23" i="5"/>
  <c r="I15" i="5"/>
  <c r="I6" i="5"/>
  <c r="I6" i="12"/>
  <c r="I24" i="9"/>
  <c r="I105" i="8"/>
  <c r="I96" i="8"/>
  <c r="I87" i="8"/>
  <c r="I78" i="8"/>
  <c r="I69" i="8"/>
  <c r="I60" i="8"/>
  <c r="I50" i="8"/>
  <c r="I41" i="8"/>
  <c r="I32" i="8"/>
  <c r="I24" i="8"/>
  <c r="I15" i="8"/>
  <c r="I5" i="8"/>
  <c r="I113" i="9"/>
  <c r="I104" i="9"/>
  <c r="I96" i="9"/>
  <c r="I87" i="9"/>
  <c r="I78" i="9"/>
  <c r="I69" i="9"/>
  <c r="I60" i="9"/>
  <c r="I51" i="9"/>
  <c r="I42" i="9"/>
  <c r="I33" i="9"/>
  <c r="I6" i="7"/>
  <c r="B16" i="10" l="1"/>
  <c r="B14" i="10"/>
  <c r="B15" i="10"/>
  <c r="B13" i="10"/>
  <c r="AC45" i="15"/>
  <c r="AC35" i="15"/>
  <c r="AC25" i="15"/>
  <c r="Z13" i="14" l="1"/>
  <c r="Y13" i="14"/>
  <c r="X13" i="14"/>
  <c r="W13" i="14"/>
  <c r="V13" i="14"/>
  <c r="U13" i="14"/>
  <c r="T13" i="14"/>
  <c r="S13" i="14"/>
  <c r="R13" i="14"/>
  <c r="Q13" i="14"/>
  <c r="X10" i="14"/>
  <c r="W10" i="14"/>
  <c r="V10" i="14"/>
  <c r="U10" i="14"/>
  <c r="T10" i="14"/>
  <c r="S10" i="14"/>
  <c r="R10" i="14"/>
  <c r="Q10" i="14"/>
  <c r="S13" i="13"/>
  <c r="S4" i="13"/>
  <c r="I103" i="13"/>
  <c r="I94" i="13"/>
  <c r="I85" i="13"/>
  <c r="I76" i="13"/>
  <c r="I67" i="13"/>
  <c r="I58" i="13"/>
  <c r="I49" i="13"/>
  <c r="I40" i="13"/>
  <c r="I31" i="13"/>
  <c r="I22" i="13"/>
  <c r="I13" i="13"/>
  <c r="I4" i="13"/>
  <c r="I49" i="5"/>
  <c r="I40" i="5"/>
  <c r="I31" i="5"/>
  <c r="I22" i="5"/>
  <c r="I13" i="5"/>
  <c r="I4" i="5"/>
  <c r="I130" i="12"/>
  <c r="I121" i="12"/>
  <c r="I112" i="12"/>
  <c r="I103" i="12"/>
  <c r="I94" i="12"/>
  <c r="I85" i="12"/>
  <c r="I76" i="12"/>
  <c r="I67" i="12"/>
  <c r="I58" i="12"/>
  <c r="I49" i="12"/>
  <c r="I40" i="12"/>
  <c r="I31" i="12"/>
  <c r="I22" i="12"/>
  <c r="I13" i="12"/>
  <c r="I4" i="12"/>
  <c r="I76" i="7"/>
  <c r="I67" i="7"/>
  <c r="I58" i="7"/>
  <c r="I49" i="7"/>
  <c r="I40" i="7"/>
  <c r="I31" i="7"/>
  <c r="I22" i="7"/>
  <c r="I13" i="7"/>
  <c r="I4" i="7"/>
  <c r="I103" i="8"/>
  <c r="I94" i="8"/>
  <c r="I85" i="8"/>
  <c r="I76" i="8"/>
  <c r="I67" i="8"/>
  <c r="I58" i="8"/>
  <c r="I49" i="8"/>
  <c r="I40" i="8"/>
  <c r="I31" i="8"/>
  <c r="I22" i="8"/>
  <c r="I13" i="8"/>
  <c r="I4" i="8"/>
  <c r="I112" i="9"/>
  <c r="I103" i="9"/>
  <c r="I94" i="9"/>
  <c r="I85" i="9"/>
  <c r="I76" i="9"/>
  <c r="I67" i="9"/>
  <c r="I58" i="9"/>
  <c r="I49" i="9"/>
  <c r="I40" i="9"/>
  <c r="I31" i="9"/>
  <c r="I22" i="9"/>
  <c r="I13" i="9"/>
  <c r="I4" i="9"/>
  <c r="AC13" i="15"/>
  <c r="M77" i="14"/>
  <c r="M76" i="14"/>
  <c r="M75" i="14"/>
  <c r="M3" i="14"/>
  <c r="O75" i="14" l="1"/>
  <c r="T14" i="14" l="1"/>
  <c r="W14" i="14"/>
  <c r="W11" i="14"/>
  <c r="Q14" i="14"/>
  <c r="T11" i="14"/>
  <c r="Q11" i="14"/>
  <c r="AT2" i="4" l="1"/>
  <c r="AT1" i="4"/>
  <c r="AD2" i="4"/>
  <c r="AD1" i="4"/>
  <c r="M2" i="14" l="1"/>
  <c r="N2" i="4" l="1"/>
  <c r="N1" i="4"/>
  <c r="H59" i="14"/>
  <c r="H5" i="14"/>
  <c r="N5" i="14" s="1"/>
  <c r="H4" i="14"/>
  <c r="N4" i="14" s="1"/>
  <c r="B8" i="10"/>
  <c r="O77" i="14"/>
  <c r="AC3" i="15"/>
  <c r="S59" i="10" l="1"/>
  <c r="S58" i="10"/>
  <c r="S57" i="10"/>
  <c r="S56" i="10"/>
  <c r="S55" i="10"/>
  <c r="S54" i="10"/>
  <c r="S53" i="10"/>
  <c r="S51" i="10"/>
  <c r="S50" i="10"/>
  <c r="S49" i="10"/>
  <c r="S48" i="10"/>
  <c r="S47" i="10"/>
  <c r="S46" i="10"/>
  <c r="S45" i="10"/>
  <c r="S44" i="10"/>
  <c r="S42" i="10"/>
  <c r="S41" i="10"/>
  <c r="S40" i="10"/>
  <c r="I40" i="10"/>
  <c r="S39" i="10"/>
  <c r="I39" i="10"/>
  <c r="S38" i="10"/>
  <c r="E38" i="10"/>
  <c r="S37" i="10"/>
  <c r="E37" i="10"/>
  <c r="S36" i="10"/>
  <c r="E36" i="10"/>
  <c r="S35" i="10"/>
  <c r="E35" i="10"/>
  <c r="S34" i="10"/>
  <c r="E34" i="10"/>
  <c r="S33" i="10"/>
  <c r="E33" i="10"/>
  <c r="S32" i="10"/>
  <c r="E32" i="10"/>
  <c r="S31" i="10"/>
  <c r="E31" i="10"/>
  <c r="S30" i="10"/>
  <c r="E30" i="10"/>
  <c r="S29" i="10"/>
  <c r="S28" i="10"/>
  <c r="E28" i="10"/>
  <c r="S27" i="10"/>
  <c r="E27" i="10" l="1"/>
  <c r="S26" i="10"/>
  <c r="E26" i="10"/>
  <c r="S25" i="10"/>
  <c r="E25" i="10"/>
  <c r="S24" i="10"/>
  <c r="I24" i="10"/>
  <c r="E24" i="10"/>
  <c r="S23" i="10"/>
  <c r="I23" i="10"/>
  <c r="E23" i="10" l="1"/>
  <c r="S22" i="10"/>
  <c r="I22" i="10" l="1"/>
  <c r="E22" i="10"/>
  <c r="S21" i="10"/>
  <c r="I21" i="10" l="1"/>
  <c r="E21" i="10" l="1"/>
  <c r="S20" i="10"/>
  <c r="I20" i="10"/>
  <c r="E20" i="10"/>
  <c r="S19" i="10"/>
  <c r="I19" i="10"/>
  <c r="E19" i="10"/>
  <c r="S18" i="10"/>
  <c r="E18" i="10"/>
  <c r="S17" i="10"/>
  <c r="I17" i="10"/>
  <c r="E17" i="10" l="1"/>
  <c r="S16" i="10"/>
  <c r="I16" i="10"/>
  <c r="S15" i="10"/>
  <c r="I15" i="10"/>
  <c r="E15" i="10"/>
  <c r="S14" i="10"/>
  <c r="I14" i="10"/>
  <c r="E14" i="10"/>
  <c r="S13" i="10"/>
  <c r="I13" i="10"/>
  <c r="E13" i="10" l="1"/>
  <c r="S12" i="10"/>
  <c r="I12" i="10" l="1"/>
  <c r="E12" i="10" l="1"/>
  <c r="S11" i="10"/>
  <c r="I11" i="10" l="1"/>
  <c r="E11" i="10"/>
  <c r="B12" i="10"/>
  <c r="S10" i="10"/>
  <c r="I10" i="10"/>
  <c r="E10" i="10" l="1"/>
  <c r="B11" i="10"/>
  <c r="S9" i="10"/>
  <c r="I9" i="10"/>
  <c r="E9" i="10"/>
  <c r="B10" i="10"/>
  <c r="S8" i="10"/>
  <c r="I8" i="10"/>
  <c r="E8" i="10"/>
  <c r="B9" i="10"/>
  <c r="S7" i="10"/>
  <c r="I7" i="10"/>
  <c r="E7" i="10"/>
  <c r="B7" i="10"/>
  <c r="S6" i="10"/>
  <c r="I6" i="10"/>
  <c r="E6" i="10"/>
  <c r="B6" i="10"/>
  <c r="S5" i="10"/>
  <c r="I5" i="10" l="1"/>
  <c r="E5" i="10"/>
  <c r="E41" i="10" s="1"/>
  <c r="B5" i="10"/>
  <c r="B23" i="10" s="1"/>
  <c r="S4" i="10"/>
  <c r="I4" i="10"/>
  <c r="B4" i="10"/>
  <c r="S3" i="10"/>
  <c r="I3" i="10"/>
  <c r="B3" i="10"/>
  <c r="J74" i="14"/>
  <c r="I74" i="14"/>
  <c r="H74" i="14"/>
  <c r="E74" i="14"/>
  <c r="M73" i="14"/>
  <c r="O73" i="14" s="1"/>
  <c r="L73" i="14"/>
  <c r="K73" i="14"/>
  <c r="J73" i="14"/>
  <c r="I73" i="14"/>
  <c r="H73" i="14"/>
  <c r="K72" i="14"/>
  <c r="J72" i="14"/>
  <c r="I72" i="14"/>
  <c r="H72" i="14"/>
  <c r="E72" i="14"/>
  <c r="M71" i="14"/>
  <c r="L71" i="14"/>
  <c r="K71" i="14"/>
  <c r="J71" i="14"/>
  <c r="I71" i="14"/>
  <c r="H71" i="14"/>
  <c r="O71" i="14" l="1"/>
  <c r="O76" i="14"/>
  <c r="M70" i="14" l="1"/>
  <c r="O70" i="14" s="1"/>
  <c r="M69" i="14"/>
  <c r="O69" i="14" s="1"/>
  <c r="M68" i="14" l="1"/>
  <c r="O68" i="14" s="1"/>
  <c r="M67" i="14" l="1"/>
  <c r="O67" i="14" s="1"/>
  <c r="M66" i="14" l="1"/>
  <c r="O66" i="14" s="1"/>
  <c r="M65" i="14"/>
  <c r="O65" i="14" l="1"/>
  <c r="M64" i="14"/>
  <c r="O64" i="14" s="1"/>
  <c r="M63" i="14" l="1"/>
  <c r="M62" i="14"/>
  <c r="O62" i="14" l="1"/>
  <c r="M61" i="14" l="1"/>
  <c r="O61" i="14" s="1"/>
  <c r="M60" i="14"/>
  <c r="M59" i="14"/>
  <c r="O59" i="14" s="1"/>
  <c r="M58" i="14"/>
  <c r="K58" i="14"/>
  <c r="J58" i="14"/>
  <c r="I58" i="14"/>
  <c r="H58" i="14"/>
  <c r="M57" i="14"/>
  <c r="K57" i="14"/>
  <c r="J57" i="14"/>
  <c r="I57" i="14"/>
  <c r="H57" i="14"/>
  <c r="M56" i="14"/>
  <c r="J56" i="14"/>
  <c r="I56" i="14"/>
  <c r="H56" i="14"/>
  <c r="M55" i="14"/>
  <c r="O55" i="14" s="1"/>
  <c r="K55" i="14"/>
  <c r="J55" i="14"/>
  <c r="I55" i="14"/>
  <c r="H55" i="14"/>
  <c r="M54" i="14"/>
  <c r="J54" i="14"/>
  <c r="I54" i="14"/>
  <c r="H54" i="14"/>
  <c r="M53" i="14"/>
  <c r="J53" i="14"/>
  <c r="I53" i="14"/>
  <c r="H53" i="14"/>
  <c r="M52" i="14"/>
  <c r="J52" i="14"/>
  <c r="I52" i="14"/>
  <c r="H52" i="14"/>
  <c r="M51" i="14"/>
  <c r="J51" i="14"/>
  <c r="I51" i="14"/>
  <c r="H51" i="14"/>
  <c r="O51" i="14" l="1"/>
  <c r="O52" i="14"/>
  <c r="N58" i="14"/>
  <c r="J24" i="10" s="1"/>
  <c r="N53" i="14"/>
  <c r="N57" i="14"/>
  <c r="O56" i="14"/>
  <c r="N52" i="14"/>
  <c r="J17" i="10" s="1"/>
  <c r="N54" i="14"/>
  <c r="O57" i="14"/>
  <c r="N51" i="14"/>
  <c r="J16" i="10" s="1"/>
  <c r="O60" i="14"/>
  <c r="N55" i="14"/>
  <c r="J21" i="10" s="1"/>
  <c r="N56" i="14"/>
  <c r="J22" i="10" s="1"/>
  <c r="O53" i="14"/>
  <c r="J23" i="10" l="1"/>
  <c r="J19" i="10"/>
  <c r="O58" i="14"/>
  <c r="J20" i="10"/>
  <c r="M50" i="14"/>
  <c r="O50" i="14" s="1"/>
  <c r="J50" i="14"/>
  <c r="I50" i="14"/>
  <c r="H50" i="14"/>
  <c r="M49" i="14"/>
  <c r="J49" i="14"/>
  <c r="I49" i="14"/>
  <c r="H49" i="14"/>
  <c r="D49" i="14"/>
  <c r="C49" i="14"/>
  <c r="B49" i="14"/>
  <c r="M48" i="14"/>
  <c r="J48" i="14"/>
  <c r="I48" i="14"/>
  <c r="H48" i="14"/>
  <c r="M47" i="14"/>
  <c r="O47" i="14" s="1"/>
  <c r="J47" i="14"/>
  <c r="I47" i="14"/>
  <c r="H47" i="14"/>
  <c r="M46" i="14"/>
  <c r="J46" i="14"/>
  <c r="I46" i="14"/>
  <c r="H46" i="14"/>
  <c r="M45" i="14"/>
  <c r="O45" i="14" s="1"/>
  <c r="J45" i="14"/>
  <c r="I45" i="14"/>
  <c r="H45" i="14"/>
  <c r="M44" i="14"/>
  <c r="J44" i="14"/>
  <c r="I44" i="14"/>
  <c r="H44" i="14"/>
  <c r="M43" i="14"/>
  <c r="O43" i="14" s="1"/>
  <c r="J43" i="14"/>
  <c r="I43" i="14"/>
  <c r="H43" i="14"/>
  <c r="M42" i="14"/>
  <c r="J42" i="14"/>
  <c r="I42" i="14"/>
  <c r="H42" i="14"/>
  <c r="D42" i="14"/>
  <c r="C42" i="14"/>
  <c r="B42" i="14"/>
  <c r="M41" i="14"/>
  <c r="O41" i="14" s="1"/>
  <c r="J41" i="14"/>
  <c r="I41" i="14"/>
  <c r="H41" i="14"/>
  <c r="C41" i="14"/>
  <c r="B41" i="14"/>
  <c r="M40" i="14"/>
  <c r="J40" i="14"/>
  <c r="I40" i="14"/>
  <c r="H40" i="14"/>
  <c r="M39" i="14"/>
  <c r="J39" i="14"/>
  <c r="I39" i="14"/>
  <c r="H39" i="14"/>
  <c r="N50" i="14" l="1"/>
  <c r="J15" i="10" s="1"/>
  <c r="N42" i="14"/>
  <c r="O40" i="14"/>
  <c r="N44" i="14"/>
  <c r="O46" i="14"/>
  <c r="O39" i="14"/>
  <c r="N48" i="14"/>
  <c r="N49" i="14"/>
  <c r="J14" i="10" s="1"/>
  <c r="N39" i="14"/>
  <c r="J4" i="10" s="1"/>
  <c r="N40" i="14"/>
  <c r="J5" i="10" s="1"/>
  <c r="O49" i="14"/>
  <c r="N47" i="14"/>
  <c r="J12" i="10" s="1"/>
  <c r="N45" i="14"/>
  <c r="J10" i="10" s="1"/>
  <c r="N41" i="14"/>
  <c r="J6" i="10" s="1"/>
  <c r="N43" i="14"/>
  <c r="J8" i="10" s="1"/>
  <c r="O48" i="14"/>
  <c r="N46" i="14"/>
  <c r="J11" i="10" s="1"/>
  <c r="O42" i="14"/>
  <c r="M38" i="14"/>
  <c r="O38" i="14" s="1"/>
  <c r="J38" i="14"/>
  <c r="I38" i="14"/>
  <c r="H38" i="14"/>
  <c r="M37" i="14"/>
  <c r="J37" i="14"/>
  <c r="I37" i="14"/>
  <c r="H37" i="14"/>
  <c r="M36" i="14"/>
  <c r="O36" i="14" s="1"/>
  <c r="J36" i="14"/>
  <c r="I36" i="14"/>
  <c r="H36" i="14"/>
  <c r="M35" i="14"/>
  <c r="O35" i="14" s="1"/>
  <c r="I35" i="14"/>
  <c r="N35" i="14" s="1"/>
  <c r="H35" i="14"/>
  <c r="J7" i="10" l="1"/>
  <c r="O37" i="14"/>
  <c r="N38" i="14"/>
  <c r="J3" i="10" s="1"/>
  <c r="N37" i="14"/>
  <c r="F38" i="10" s="1"/>
  <c r="F36" i="10"/>
  <c r="J13" i="10"/>
  <c r="N36" i="14"/>
  <c r="M34" i="14"/>
  <c r="O34" i="14" s="1"/>
  <c r="I34" i="14"/>
  <c r="N34" i="14" s="1"/>
  <c r="H34" i="14"/>
  <c r="M33" i="14"/>
  <c r="I33" i="14"/>
  <c r="N33" i="14" s="1"/>
  <c r="H33" i="14"/>
  <c r="M32" i="14"/>
  <c r="I32" i="14"/>
  <c r="N32" i="14" s="1"/>
  <c r="H32" i="14"/>
  <c r="M31" i="14"/>
  <c r="I31" i="14"/>
  <c r="N31" i="14" s="1"/>
  <c r="H31" i="14"/>
  <c r="M30" i="14"/>
  <c r="I30" i="14"/>
  <c r="N30" i="14" s="1"/>
  <c r="H30" i="14"/>
  <c r="M29" i="14"/>
  <c r="O29" i="14" s="1"/>
  <c r="K29" i="14"/>
  <c r="J29" i="14"/>
  <c r="I29" i="14"/>
  <c r="H29" i="14"/>
  <c r="M28" i="14"/>
  <c r="J28" i="14"/>
  <c r="I28" i="14"/>
  <c r="H28" i="14"/>
  <c r="M27" i="14"/>
  <c r="K27" i="14"/>
  <c r="J27" i="14"/>
  <c r="I27" i="14"/>
  <c r="H27" i="14"/>
  <c r="M26" i="14"/>
  <c r="K26" i="14"/>
  <c r="J26" i="14"/>
  <c r="I26" i="14"/>
  <c r="H26" i="14"/>
  <c r="C26" i="14"/>
  <c r="N70" i="14" s="1"/>
  <c r="I37" i="10" s="1"/>
  <c r="M25" i="14"/>
  <c r="J25" i="14"/>
  <c r="I25" i="14"/>
  <c r="H25" i="14"/>
  <c r="C25" i="14"/>
  <c r="M24" i="14"/>
  <c r="J24" i="14"/>
  <c r="I24" i="14"/>
  <c r="H24" i="14"/>
  <c r="C24" i="14"/>
  <c r="N68" i="14" s="1"/>
  <c r="I35" i="10" s="1"/>
  <c r="M23" i="14"/>
  <c r="O23" i="14" s="1"/>
  <c r="J23" i="14"/>
  <c r="I23" i="14"/>
  <c r="H23" i="14"/>
  <c r="C23" i="14"/>
  <c r="N67" i="14" s="1"/>
  <c r="I34" i="10" s="1"/>
  <c r="M22" i="14"/>
  <c r="K22" i="14"/>
  <c r="J22" i="14"/>
  <c r="I22" i="14"/>
  <c r="H22" i="14"/>
  <c r="N24" i="14" l="1"/>
  <c r="F24" i="10" s="1"/>
  <c r="N25" i="14"/>
  <c r="N28" i="14"/>
  <c r="N22" i="14"/>
  <c r="O33" i="14"/>
  <c r="F34" i="10" s="1"/>
  <c r="O26" i="14"/>
  <c r="O31" i="14"/>
  <c r="O24" i="14"/>
  <c r="N69" i="14"/>
  <c r="I36" i="10" s="1"/>
  <c r="N26" i="14"/>
  <c r="F26" i="10" s="1"/>
  <c r="N23" i="14"/>
  <c r="F23" i="10" s="1"/>
  <c r="N29" i="14"/>
  <c r="F30" i="10" s="1"/>
  <c r="O25" i="14"/>
  <c r="F32" i="10"/>
  <c r="O22" i="14"/>
  <c r="O28" i="14"/>
  <c r="F35" i="10"/>
  <c r="F37" i="10"/>
  <c r="O30" i="14"/>
  <c r="F31" i="10" s="1"/>
  <c r="O32" i="14"/>
  <c r="F33" i="10" s="1"/>
  <c r="O27" i="14"/>
  <c r="C22" i="14"/>
  <c r="N66" i="14" s="1"/>
  <c r="I33" i="10" s="1"/>
  <c r="M21" i="14"/>
  <c r="O21" i="14" s="1"/>
  <c r="K21" i="14"/>
  <c r="J21" i="14"/>
  <c r="I21" i="14"/>
  <c r="H21" i="14"/>
  <c r="C21" i="14"/>
  <c r="N65" i="14" s="1"/>
  <c r="I32" i="10" s="1"/>
  <c r="M20" i="14"/>
  <c r="K20" i="14"/>
  <c r="J20" i="14"/>
  <c r="I20" i="14"/>
  <c r="H20" i="14"/>
  <c r="F25" i="10" l="1"/>
  <c r="F28" i="10"/>
  <c r="N20" i="14"/>
  <c r="F22" i="10"/>
  <c r="N21" i="14"/>
  <c r="F21" i="10" s="1"/>
  <c r="O20" i="14"/>
  <c r="N27" i="14"/>
  <c r="F27" i="10" s="1"/>
  <c r="C20" i="14"/>
  <c r="M19" i="14"/>
  <c r="J19" i="14"/>
  <c r="I19" i="14"/>
  <c r="H19" i="14"/>
  <c r="N19" i="14" l="1"/>
  <c r="F19" i="10" s="1"/>
  <c r="F20" i="10"/>
  <c r="O19" i="14"/>
  <c r="N64" i="14"/>
  <c r="I31" i="10" s="1"/>
  <c r="C19" i="14"/>
  <c r="M18" i="14"/>
  <c r="K18" i="14"/>
  <c r="J18" i="14"/>
  <c r="I18" i="14"/>
  <c r="H18" i="14"/>
  <c r="N18" i="14" l="1"/>
  <c r="F18" i="10" s="1"/>
  <c r="O18" i="14"/>
  <c r="N63" i="14"/>
  <c r="I30" i="10" s="1"/>
  <c r="C18" i="14"/>
  <c r="M17" i="14"/>
  <c r="K17" i="14"/>
  <c r="J17" i="14"/>
  <c r="I17" i="14"/>
  <c r="H17" i="14"/>
  <c r="C17" i="14"/>
  <c r="N61" i="14" s="1"/>
  <c r="I28" i="10" s="1"/>
  <c r="M16" i="14"/>
  <c r="L16" i="14"/>
  <c r="K16" i="14"/>
  <c r="J16" i="14"/>
  <c r="I16" i="14"/>
  <c r="H16" i="14"/>
  <c r="C16" i="14"/>
  <c r="N60" i="14" s="1"/>
  <c r="I27" i="10" s="1"/>
  <c r="M15" i="14"/>
  <c r="O15" i="14" s="1"/>
  <c r="L15" i="14"/>
  <c r="K15" i="14"/>
  <c r="J15" i="14"/>
  <c r="I15" i="14"/>
  <c r="H15" i="14"/>
  <c r="C15" i="14"/>
  <c r="N59" i="14" s="1"/>
  <c r="I26" i="10" s="1"/>
  <c r="M14" i="14"/>
  <c r="O14" i="14" s="1"/>
  <c r="J14" i="14"/>
  <c r="I14" i="14"/>
  <c r="H14" i="14"/>
  <c r="M13" i="14"/>
  <c r="K13" i="14"/>
  <c r="J13" i="14"/>
  <c r="I13" i="14"/>
  <c r="H13" i="14"/>
  <c r="M12" i="14"/>
  <c r="O12" i="14" s="1"/>
  <c r="J12" i="14"/>
  <c r="I12" i="14"/>
  <c r="H12" i="14"/>
  <c r="C12" i="14"/>
  <c r="M11" i="14"/>
  <c r="J11" i="14"/>
  <c r="I11" i="14"/>
  <c r="H11" i="14"/>
  <c r="C11" i="14"/>
  <c r="M10" i="14"/>
  <c r="J10" i="14"/>
  <c r="I10" i="14"/>
  <c r="H10" i="14"/>
  <c r="C10" i="14"/>
  <c r="M9" i="14"/>
  <c r="J9" i="14"/>
  <c r="I9" i="14"/>
  <c r="H9" i="14"/>
  <c r="C9" i="14"/>
  <c r="M8" i="14"/>
  <c r="K8" i="14"/>
  <c r="J8" i="14"/>
  <c r="I8" i="14"/>
  <c r="H8" i="14"/>
  <c r="M7" i="14"/>
  <c r="J7" i="14"/>
  <c r="I7" i="14"/>
  <c r="H7" i="14"/>
  <c r="M6" i="14"/>
  <c r="O6" i="14" s="1"/>
  <c r="J6" i="14"/>
  <c r="I6" i="14"/>
  <c r="H6" i="14"/>
  <c r="C6" i="14"/>
  <c r="M5" i="14"/>
  <c r="O5" i="14" s="1"/>
  <c r="C5" i="14"/>
  <c r="M4" i="14"/>
  <c r="O4" i="14" s="1"/>
  <c r="C4" i="14"/>
  <c r="C3" i="14"/>
  <c r="M78" i="14" l="1"/>
  <c r="N8" i="14"/>
  <c r="N11" i="14"/>
  <c r="F10" i="10" s="1"/>
  <c r="O2" i="14"/>
  <c r="N14" i="14"/>
  <c r="F13" i="10" s="1"/>
  <c r="N9" i="14"/>
  <c r="N13" i="14"/>
  <c r="F12" i="10" s="1"/>
  <c r="N12" i="14"/>
  <c r="F11" i="10" s="1"/>
  <c r="O3" i="14"/>
  <c r="F3" i="10"/>
  <c r="F4" i="10"/>
  <c r="N15" i="14"/>
  <c r="F14" i="10" s="1"/>
  <c r="N16" i="14"/>
  <c r="O17" i="14"/>
  <c r="N62" i="14"/>
  <c r="I29" i="10" s="1"/>
  <c r="N6" i="14"/>
  <c r="F5" i="10" s="1"/>
  <c r="O9" i="14"/>
  <c r="O11" i="14"/>
  <c r="O13" i="14"/>
  <c r="O7" i="14"/>
  <c r="O16" i="14"/>
  <c r="N17" i="14"/>
  <c r="F17" i="10" s="1"/>
  <c r="O8" i="14"/>
  <c r="O10" i="14"/>
  <c r="E2" i="14"/>
  <c r="C2" i="14"/>
  <c r="Z1" i="14"/>
  <c r="Y1" i="14"/>
  <c r="X1" i="14"/>
  <c r="W1" i="14"/>
  <c r="V1" i="14"/>
  <c r="U1" i="14"/>
  <c r="T1" i="14"/>
  <c r="S1" i="14"/>
  <c r="R1" i="14"/>
  <c r="Q1" i="14"/>
  <c r="B105" i="13"/>
  <c r="I104" i="13" s="1"/>
  <c r="B96" i="13"/>
  <c r="I96" i="13" s="1"/>
  <c r="B87" i="13"/>
  <c r="I87" i="13" s="1"/>
  <c r="B78" i="13"/>
  <c r="I77" i="13" s="1"/>
  <c r="B69" i="13"/>
  <c r="I68" i="13" s="1"/>
  <c r="B60" i="13"/>
  <c r="I59" i="13" s="1"/>
  <c r="B51" i="13"/>
  <c r="I50" i="13" s="1"/>
  <c r="B42" i="13"/>
  <c r="I41" i="13" s="1"/>
  <c r="B33" i="13"/>
  <c r="I32" i="13" s="1"/>
  <c r="B24" i="13"/>
  <c r="I23" i="13" s="1"/>
  <c r="S18" i="13"/>
  <c r="S17" i="13"/>
  <c r="L15" i="13"/>
  <c r="S16" i="13" s="1"/>
  <c r="B15" i="13"/>
  <c r="I15" i="13" s="1"/>
  <c r="S14" i="13"/>
  <c r="S9" i="13"/>
  <c r="S8" i="13"/>
  <c r="L6" i="13"/>
  <c r="S7" i="13" s="1"/>
  <c r="B6" i="13"/>
  <c r="I5" i="13" s="1"/>
  <c r="O2" i="13"/>
  <c r="M2" i="13"/>
  <c r="E2" i="13"/>
  <c r="C2" i="13"/>
  <c r="B51" i="5"/>
  <c r="B42" i="5"/>
  <c r="B33" i="5"/>
  <c r="B24" i="5"/>
  <c r="B15" i="5"/>
  <c r="B6" i="5"/>
  <c r="E2" i="5"/>
  <c r="C2" i="5"/>
  <c r="I132" i="12"/>
  <c r="B132" i="12"/>
  <c r="I123" i="12"/>
  <c r="B123" i="12"/>
  <c r="I114" i="12"/>
  <c r="B114" i="12"/>
  <c r="I105" i="12"/>
  <c r="B105" i="12"/>
  <c r="I96" i="12"/>
  <c r="B96" i="12"/>
  <c r="I87" i="12"/>
  <c r="B87" i="12"/>
  <c r="I78" i="12"/>
  <c r="B78" i="12"/>
  <c r="I69" i="12"/>
  <c r="B69" i="12"/>
  <c r="I60" i="12"/>
  <c r="B60" i="12"/>
  <c r="I51" i="12"/>
  <c r="B51" i="12"/>
  <c r="I42" i="12"/>
  <c r="B42" i="12"/>
  <c r="I33" i="12"/>
  <c r="B33" i="12"/>
  <c r="I24" i="12"/>
  <c r="B24" i="12"/>
  <c r="I15" i="12"/>
  <c r="B15" i="12"/>
  <c r="B6" i="12"/>
  <c r="E2" i="12"/>
  <c r="C2" i="12"/>
  <c r="I78" i="7"/>
  <c r="B78" i="7"/>
  <c r="I69" i="7"/>
  <c r="B69" i="7"/>
  <c r="I60" i="7"/>
  <c r="B60" i="7"/>
  <c r="I51" i="7"/>
  <c r="B51" i="7"/>
  <c r="I42" i="7"/>
  <c r="B42" i="7"/>
  <c r="I33" i="7"/>
  <c r="B33" i="7"/>
  <c r="I24" i="7"/>
  <c r="B24" i="7"/>
  <c r="I15" i="7"/>
  <c r="B15" i="7"/>
  <c r="B6" i="7"/>
  <c r="E2" i="7"/>
  <c r="C2" i="7"/>
  <c r="B105" i="8"/>
  <c r="B96" i="8"/>
  <c r="B87" i="8"/>
  <c r="B78" i="8"/>
  <c r="B69" i="8"/>
  <c r="B60" i="8"/>
  <c r="B42" i="8"/>
  <c r="B33" i="8"/>
  <c r="B24" i="8"/>
  <c r="B15" i="8"/>
  <c r="B6" i="8"/>
  <c r="E2" i="8"/>
  <c r="C2" i="8"/>
  <c r="B114" i="9"/>
  <c r="B105" i="9"/>
  <c r="B96" i="9"/>
  <c r="B87" i="9"/>
  <c r="B78" i="9"/>
  <c r="B69" i="9"/>
  <c r="B60" i="9"/>
  <c r="B51" i="9"/>
  <c r="B42" i="9"/>
  <c r="B33" i="9"/>
  <c r="B24" i="9"/>
  <c r="B15" i="9"/>
  <c r="I14" i="9" s="1"/>
  <c r="B6" i="9"/>
  <c r="I6" i="9" s="1"/>
  <c r="E2" i="9"/>
  <c r="C2" i="9"/>
  <c r="C15" i="15"/>
  <c r="D14" i="15"/>
  <c r="C5" i="15"/>
  <c r="D4" i="15"/>
  <c r="C4" i="15"/>
  <c r="N2" i="15"/>
  <c r="I11" i="4" l="1"/>
  <c r="A63" i="14"/>
  <c r="A62" i="14"/>
  <c r="A61" i="14"/>
  <c r="A64" i="14"/>
  <c r="AH4" i="4"/>
  <c r="AH67" i="4"/>
  <c r="Y39" i="4"/>
  <c r="R67" i="4"/>
  <c r="R60" i="4"/>
  <c r="Y32" i="4"/>
  <c r="I46" i="4"/>
  <c r="Y60" i="4"/>
  <c r="AH32" i="4"/>
  <c r="I81" i="4"/>
  <c r="R53" i="4"/>
  <c r="R25" i="4"/>
  <c r="R4" i="4"/>
  <c r="R81" i="4"/>
  <c r="Y25" i="4"/>
  <c r="AO39" i="4"/>
  <c r="AO18" i="4"/>
  <c r="I53" i="4"/>
  <c r="AO60" i="4"/>
  <c r="Y67" i="4"/>
  <c r="AH18" i="4"/>
  <c r="AO53" i="4"/>
  <c r="R32" i="4"/>
  <c r="Y11" i="4"/>
  <c r="AH39" i="4"/>
  <c r="I25" i="4"/>
  <c r="AH74" i="4"/>
  <c r="Y4" i="4"/>
  <c r="AH11" i="4"/>
  <c r="AO11" i="4"/>
  <c r="R39" i="4"/>
  <c r="AH53" i="4"/>
  <c r="I32" i="4"/>
  <c r="Y74" i="4"/>
  <c r="I67" i="4"/>
  <c r="AO74" i="4"/>
  <c r="Y46" i="4"/>
  <c r="I39" i="4"/>
  <c r="AO25" i="4"/>
  <c r="Y18" i="4"/>
  <c r="AO46" i="4"/>
  <c r="I60" i="4"/>
  <c r="AH46" i="4"/>
  <c r="R11" i="4"/>
  <c r="AO81" i="4"/>
  <c r="R74" i="4"/>
  <c r="AO32" i="4"/>
  <c r="AH25" i="4"/>
  <c r="R18" i="4"/>
  <c r="AO4" i="4"/>
  <c r="Y81" i="4"/>
  <c r="I74" i="4"/>
  <c r="AH60" i="4"/>
  <c r="Y53" i="4"/>
  <c r="I18" i="4"/>
  <c r="AO67" i="4"/>
  <c r="AH81" i="4"/>
  <c r="R46" i="4"/>
  <c r="F7" i="10"/>
  <c r="AC2" i="15"/>
  <c r="G2" i="13"/>
  <c r="Q2" i="13"/>
  <c r="G2" i="5"/>
  <c r="G2" i="7"/>
  <c r="G2" i="9"/>
  <c r="G2" i="12"/>
  <c r="G2" i="8"/>
  <c r="N3" i="10"/>
  <c r="B18" i="4"/>
  <c r="B11" i="4"/>
  <c r="B74" i="4"/>
  <c r="B60" i="4"/>
  <c r="B46" i="4"/>
  <c r="B32" i="4"/>
  <c r="B81" i="4"/>
  <c r="B53" i="4"/>
  <c r="B25" i="4"/>
  <c r="B67" i="4"/>
  <c r="B39" i="4"/>
  <c r="F15" i="10"/>
  <c r="E3" i="14"/>
  <c r="F8" i="10"/>
  <c r="U2" i="14"/>
  <c r="S2" i="14" s="1"/>
  <c r="Q2" i="14" s="1"/>
  <c r="S19" i="13"/>
  <c r="S20" i="13" s="1"/>
  <c r="M40" i="10" s="1"/>
  <c r="J40" i="10" s="1"/>
  <c r="S15" i="13"/>
  <c r="S10" i="13"/>
  <c r="S11" i="13" s="1"/>
  <c r="M39" i="10" s="1"/>
  <c r="J39" i="10" s="1"/>
  <c r="N7" i="14"/>
  <c r="F6" i="10" s="1"/>
  <c r="N10" i="14"/>
  <c r="F9" i="10" s="1"/>
  <c r="B4" i="4"/>
  <c r="O63" i="14"/>
  <c r="E42" i="10" l="1"/>
  <c r="E4" i="14"/>
  <c r="I43" i="10"/>
  <c r="A65" i="14"/>
  <c r="B77" i="14" l="1"/>
  <c r="C77" i="14" s="1"/>
  <c r="E5" i="14"/>
  <c r="E6" i="14" l="1"/>
  <c r="S61" i="10"/>
  <c r="E7" i="14" l="1"/>
  <c r="E8" i="14" l="1"/>
  <c r="E9" i="14" l="1"/>
  <c r="E10" i="14" l="1"/>
  <c r="E11" i="14" l="1"/>
  <c r="E12" i="14" l="1"/>
  <c r="E13" i="14" l="1"/>
  <c r="E14" i="14" l="1"/>
  <c r="E15" i="14" l="1"/>
  <c r="E16" i="14" s="1"/>
  <c r="E17" i="14" l="1"/>
  <c r="E18" i="14" l="1"/>
  <c r="E19" i="14" s="1"/>
  <c r="E20" i="14" l="1"/>
  <c r="E21" i="14" l="1"/>
  <c r="E22" i="14" l="1"/>
  <c r="E23" i="14" l="1"/>
  <c r="E24" i="14" l="1"/>
  <c r="E25" i="14" s="1"/>
  <c r="E26" i="14" l="1"/>
  <c r="E27" i="14" s="1"/>
  <c r="E28" i="14" l="1"/>
  <c r="E29" i="14" s="1"/>
  <c r="O44" i="14"/>
  <c r="J9" i="10" s="1"/>
  <c r="I44" i="10" s="1"/>
  <c r="B78" i="14" l="1"/>
  <c r="C78" i="14" s="1"/>
  <c r="D78" i="14" s="1"/>
  <c r="E30" i="14"/>
  <c r="E31" i="14" s="1"/>
  <c r="E32" i="14" s="1"/>
  <c r="O54" i="14"/>
  <c r="B16" i="17" l="1"/>
  <c r="B4" i="17"/>
  <c r="B17" i="17"/>
  <c r="B15" i="17"/>
  <c r="B27" i="17" s="1"/>
  <c r="E33" i="14"/>
  <c r="E34" i="14" s="1"/>
  <c r="E35" i="14" s="1"/>
  <c r="E29" i="17" l="1"/>
  <c r="B28" i="17"/>
  <c r="B29" i="17"/>
  <c r="E36" i="14"/>
  <c r="E37" i="14" l="1"/>
  <c r="E38" i="14" l="1"/>
  <c r="E39" i="14" l="1"/>
  <c r="E40" i="14" l="1"/>
  <c r="E41" i="14" s="1"/>
  <c r="E42" i="14" l="1"/>
  <c r="E43" i="14" l="1"/>
  <c r="E44" i="14" l="1"/>
  <c r="E45" i="14" l="1"/>
  <c r="E46" i="14" s="1"/>
  <c r="E47" i="14" s="1"/>
  <c r="E48" i="14" s="1"/>
  <c r="E49" i="14" l="1"/>
  <c r="E50" i="14" l="1"/>
  <c r="E51" i="14" l="1"/>
  <c r="E52" i="14" l="1"/>
  <c r="E53" i="14" l="1"/>
  <c r="E54" i="14" l="1"/>
  <c r="E55" i="14" l="1"/>
  <c r="E56" i="14" l="1"/>
  <c r="E57" i="14" l="1"/>
  <c r="E58" i="14" l="1"/>
  <c r="E59" i="14" l="1"/>
  <c r="E60" i="14" l="1"/>
  <c r="E61" i="14" l="1"/>
  <c r="E62" i="14" l="1"/>
  <c r="E63" i="14" l="1"/>
  <c r="E64" i="14" l="1"/>
  <c r="E65" i="14" s="1"/>
  <c r="E66" i="14" s="1"/>
  <c r="E67" i="14" s="1"/>
  <c r="E68" i="14" s="1"/>
  <c r="E69" i="14" s="1"/>
  <c r="E70" i="14" s="1"/>
  <c r="E71" i="14" l="1"/>
  <c r="E73" i="14" l="1"/>
  <c r="AO69" i="4"/>
  <c r="AR60" i="4"/>
  <c r="AH48" i="4"/>
  <c r="Z74" i="4"/>
  <c r="Y62" i="4"/>
  <c r="Z53" i="4"/>
  <c r="Y55" i="4"/>
  <c r="Z46" i="4"/>
  <c r="AB46" i="4"/>
  <c r="Y48" i="4"/>
  <c r="Y41" i="4"/>
  <c r="AB39" i="4"/>
  <c r="Z39" i="4"/>
  <c r="Y27" i="4"/>
  <c r="Y13" i="4"/>
  <c r="Y6" i="4"/>
  <c r="U81" i="4"/>
  <c r="S60" i="4"/>
  <c r="R62" i="4"/>
  <c r="S53" i="4"/>
  <c r="U46" i="4"/>
  <c r="S39" i="4"/>
  <c r="R27" i="4"/>
  <c r="R20" i="4"/>
  <c r="U18" i="4"/>
  <c r="U25" i="4"/>
  <c r="S4" i="4"/>
  <c r="L67" i="4"/>
  <c r="S11" i="4" l="1"/>
  <c r="AK4" i="4"/>
  <c r="AI60" i="4"/>
  <c r="AH62" i="4"/>
  <c r="AP4" i="4"/>
  <c r="AR11" i="4"/>
  <c r="AR18" i="4"/>
  <c r="AP25" i="4"/>
  <c r="AP67" i="4"/>
  <c r="E75" i="14"/>
  <c r="AR81" i="4"/>
  <c r="AP74" i="4"/>
  <c r="AP81" i="4"/>
  <c r="AO83" i="4"/>
  <c r="AR53" i="4"/>
  <c r="AP32" i="4"/>
  <c r="AR46" i="4"/>
  <c r="AO34" i="4"/>
  <c r="AP39" i="4"/>
  <c r="AR32" i="4"/>
  <c r="AO41" i="4"/>
  <c r="AO27" i="4"/>
  <c r="AR25" i="4"/>
  <c r="AP18" i="4"/>
  <c r="AO6" i="4"/>
  <c r="AO13" i="4"/>
  <c r="AP11" i="4"/>
  <c r="AO20" i="4"/>
  <c r="AH83" i="4"/>
  <c r="AR4" i="4"/>
  <c r="AI81" i="4"/>
  <c r="AK74" i="4"/>
  <c r="AH69" i="4"/>
  <c r="AK81" i="4"/>
  <c r="AK67" i="4"/>
  <c r="AI74" i="4"/>
  <c r="AK60" i="4"/>
  <c r="AH76" i="4"/>
  <c r="AI53" i="4"/>
  <c r="AI67" i="4"/>
  <c r="AK53" i="4"/>
  <c r="AI39" i="4"/>
  <c r="AH55" i="4"/>
  <c r="AH34" i="4"/>
  <c r="AI46" i="4"/>
  <c r="AK32" i="4"/>
  <c r="AK46" i="4"/>
  <c r="AK39" i="4"/>
  <c r="AH41" i="4"/>
  <c r="AI32" i="4"/>
  <c r="AK25" i="4"/>
  <c r="AK18" i="4"/>
  <c r="AI25" i="4"/>
  <c r="AH27" i="4"/>
  <c r="AI18" i="4"/>
  <c r="AH20" i="4"/>
  <c r="AK11" i="4"/>
  <c r="AH13" i="4"/>
  <c r="AI11" i="4"/>
  <c r="AI4" i="4"/>
  <c r="AH6" i="4"/>
  <c r="Y76" i="4"/>
  <c r="Z67" i="4"/>
  <c r="Z81" i="4"/>
  <c r="AB74" i="4"/>
  <c r="AB60" i="4"/>
  <c r="AB67" i="4"/>
  <c r="AB53" i="4"/>
  <c r="Z60" i="4"/>
  <c r="Y69" i="4"/>
  <c r="AB18" i="4"/>
  <c r="Y34" i="4"/>
  <c r="AB25" i="4"/>
  <c r="Z32" i="4"/>
  <c r="AB32" i="4"/>
  <c r="Z25" i="4"/>
  <c r="Z18" i="4"/>
  <c r="Z4" i="4"/>
  <c r="AB11" i="4"/>
  <c r="Z11" i="4"/>
  <c r="Y20" i="4"/>
  <c r="S81" i="4"/>
  <c r="AB4" i="4"/>
  <c r="U74" i="4"/>
  <c r="U67" i="4"/>
  <c r="R83" i="4"/>
  <c r="R69" i="4"/>
  <c r="R76" i="4"/>
  <c r="S67" i="4"/>
  <c r="S74" i="4"/>
  <c r="R55" i="4"/>
  <c r="R48" i="4"/>
  <c r="U60" i="4"/>
  <c r="S46" i="4"/>
  <c r="U53" i="4"/>
  <c r="U39" i="4"/>
  <c r="R41" i="4"/>
  <c r="S25" i="4"/>
  <c r="S32" i="4"/>
  <c r="U32" i="4"/>
  <c r="S18" i="4"/>
  <c r="R34" i="4"/>
  <c r="R13" i="4"/>
  <c r="U11" i="4"/>
  <c r="U4" i="4"/>
  <c r="J81" i="4"/>
  <c r="R6" i="4"/>
  <c r="I83" i="4"/>
  <c r="L81" i="4"/>
  <c r="J67" i="4"/>
  <c r="I69" i="4"/>
  <c r="L74" i="4"/>
  <c r="J60" i="4"/>
  <c r="J74" i="4"/>
  <c r="I76" i="4"/>
  <c r="I62" i="4"/>
  <c r="L60" i="4"/>
  <c r="AB81" i="4"/>
  <c r="Y83" i="4"/>
  <c r="AR39" i="4"/>
  <c r="AO48" i="4"/>
  <c r="AP46" i="4"/>
  <c r="AP60" i="4"/>
  <c r="AO62" i="4"/>
  <c r="AR67" i="4"/>
  <c r="AO55" i="4"/>
  <c r="AP53" i="4"/>
  <c r="E76" i="14" l="1"/>
  <c r="AR74" i="4"/>
  <c r="AO76" i="4"/>
  <c r="C4" i="4" l="1"/>
  <c r="E11" i="4"/>
  <c r="E77" i="14"/>
  <c r="J53" i="4" s="1"/>
  <c r="B6" i="4" l="1"/>
  <c r="E4" i="4"/>
  <c r="B13" i="4"/>
  <c r="C11" i="4"/>
  <c r="B20" i="4"/>
  <c r="C18" i="4"/>
  <c r="E18" i="4"/>
  <c r="C25" i="4"/>
  <c r="B27" i="4"/>
  <c r="E25" i="4"/>
  <c r="I27" i="4"/>
  <c r="B41" i="4"/>
  <c r="I55" i="4"/>
  <c r="L53" i="4"/>
  <c r="J46" i="4"/>
  <c r="L46" i="4"/>
  <c r="I48" i="4"/>
  <c r="I41" i="4"/>
  <c r="J39" i="4"/>
  <c r="L39" i="4"/>
  <c r="I34" i="4"/>
  <c r="J32" i="4"/>
  <c r="L32" i="4"/>
  <c r="L25" i="4"/>
  <c r="J25" i="4"/>
  <c r="I20" i="4"/>
  <c r="J18" i="4"/>
  <c r="L18" i="4"/>
  <c r="I13" i="4"/>
  <c r="L11" i="4"/>
  <c r="J11" i="4"/>
  <c r="C81" i="4"/>
  <c r="B83" i="4"/>
  <c r="E81" i="4"/>
  <c r="B76" i="4"/>
  <c r="C74" i="4"/>
  <c r="E74" i="4"/>
  <c r="C67" i="4"/>
  <c r="E67" i="4"/>
  <c r="B69" i="4"/>
  <c r="E60" i="4"/>
  <c r="C60" i="4"/>
  <c r="B62" i="4"/>
  <c r="E53" i="4"/>
  <c r="C53" i="4"/>
  <c r="B55" i="4"/>
  <c r="B48" i="4"/>
  <c r="C46" i="4"/>
  <c r="E46" i="4"/>
  <c r="E39" i="4"/>
  <c r="C39" i="4"/>
  <c r="C32" i="4"/>
  <c r="B34" i="4"/>
  <c r="E32" i="4"/>
</calcChain>
</file>

<file path=xl/sharedStrings.xml><?xml version="1.0" encoding="utf-8"?>
<sst xmlns="http://schemas.openxmlformats.org/spreadsheetml/2006/main" count="832" uniqueCount="493">
  <si>
    <t>被保険者番号</t>
    <rPh sb="0" eb="4">
      <t>ヒホケンシャ</t>
    </rPh>
    <rPh sb="4" eb="6">
      <t>バンゴウ</t>
    </rPh>
    <phoneticPr fontId="1"/>
  </si>
  <si>
    <t>調査員所属機関</t>
    <rPh sb="0" eb="3">
      <t>チョウサイン</t>
    </rPh>
    <rPh sb="3" eb="5">
      <t>ショゾク</t>
    </rPh>
    <rPh sb="5" eb="7">
      <t>キカン</t>
    </rPh>
    <phoneticPr fontId="1"/>
  </si>
  <si>
    <t>訪問介護</t>
    <rPh sb="0" eb="2">
      <t>ホウモン</t>
    </rPh>
    <rPh sb="2" eb="4">
      <t>カイゴ</t>
    </rPh>
    <phoneticPr fontId="1"/>
  </si>
  <si>
    <t>療養指導</t>
    <rPh sb="0" eb="2">
      <t>リョウヨウ</t>
    </rPh>
    <rPh sb="2" eb="4">
      <t>シドウ</t>
    </rPh>
    <phoneticPr fontId="1"/>
  </si>
  <si>
    <t>短期療養</t>
    <rPh sb="0" eb="2">
      <t>タンキ</t>
    </rPh>
    <rPh sb="2" eb="4">
      <t>リョウヨウ</t>
    </rPh>
    <phoneticPr fontId="1"/>
  </si>
  <si>
    <t>訪問入浴</t>
    <rPh sb="0" eb="2">
      <t>ホウモン</t>
    </rPh>
    <rPh sb="2" eb="4">
      <t>ニュウヨク</t>
    </rPh>
    <phoneticPr fontId="1"/>
  </si>
  <si>
    <t>通所介護</t>
    <rPh sb="0" eb="2">
      <t>ツウショ</t>
    </rPh>
    <rPh sb="2" eb="4">
      <t>カイゴ</t>
    </rPh>
    <phoneticPr fontId="1"/>
  </si>
  <si>
    <t>特定施設</t>
    <rPh sb="0" eb="2">
      <t>トクテイ</t>
    </rPh>
    <rPh sb="2" eb="4">
      <t>シセツ</t>
    </rPh>
    <phoneticPr fontId="1"/>
  </si>
  <si>
    <t>認知通所</t>
    <rPh sb="0" eb="2">
      <t>ニンチ</t>
    </rPh>
    <rPh sb="2" eb="4">
      <t>ツウショ</t>
    </rPh>
    <phoneticPr fontId="1"/>
  </si>
  <si>
    <t>日</t>
    <rPh sb="0" eb="1">
      <t>ニチ</t>
    </rPh>
    <phoneticPr fontId="1"/>
  </si>
  <si>
    <t>訪問看護</t>
    <rPh sb="0" eb="2">
      <t>ホウモン</t>
    </rPh>
    <rPh sb="2" eb="4">
      <t>カンゴ</t>
    </rPh>
    <phoneticPr fontId="1"/>
  </si>
  <si>
    <t>通所リハ</t>
    <rPh sb="0" eb="2">
      <t>ツウショ</t>
    </rPh>
    <phoneticPr fontId="1"/>
  </si>
  <si>
    <t>用具貸与</t>
    <rPh sb="0" eb="2">
      <t>ヨウグ</t>
    </rPh>
    <rPh sb="2" eb="4">
      <t>タイヨ</t>
    </rPh>
    <phoneticPr fontId="1"/>
  </si>
  <si>
    <t>小規模居宅</t>
    <rPh sb="0" eb="3">
      <t>ショウキボ</t>
    </rPh>
    <rPh sb="3" eb="5">
      <t>キョタク</t>
    </rPh>
    <phoneticPr fontId="1"/>
  </si>
  <si>
    <t>訪問リハ</t>
    <rPh sb="0" eb="2">
      <t>ホウモン</t>
    </rPh>
    <phoneticPr fontId="1"/>
  </si>
  <si>
    <t>短期生活</t>
    <rPh sb="0" eb="2">
      <t>タンキ</t>
    </rPh>
    <rPh sb="2" eb="4">
      <t>セイカツ</t>
    </rPh>
    <phoneticPr fontId="1"/>
  </si>
  <si>
    <t>用具販売</t>
    <rPh sb="0" eb="2">
      <t>ヨウグ</t>
    </rPh>
    <rPh sb="2" eb="4">
      <t>ハンバイ</t>
    </rPh>
    <phoneticPr fontId="1"/>
  </si>
  <si>
    <t>認知共同</t>
    <rPh sb="0" eb="2">
      <t>ニンチ</t>
    </rPh>
    <rPh sb="2" eb="4">
      <t>キョウドウ</t>
    </rPh>
    <phoneticPr fontId="1"/>
  </si>
  <si>
    <t>市町村特別給付</t>
    <rPh sb="0" eb="3">
      <t>シチョウソン</t>
    </rPh>
    <rPh sb="3" eb="5">
      <t>トクベツ</t>
    </rPh>
    <rPh sb="5" eb="7">
      <t>キュウフ</t>
    </rPh>
    <phoneticPr fontId="1"/>
  </si>
  <si>
    <t>他在宅サービス</t>
    <rPh sb="0" eb="1">
      <t>ホカ</t>
    </rPh>
    <rPh sb="1" eb="3">
      <t>ザイタク</t>
    </rPh>
    <phoneticPr fontId="1"/>
  </si>
  <si>
    <t>介護保険調査票特記事項</t>
    <rPh sb="0" eb="2">
      <t>カイゴ</t>
    </rPh>
    <rPh sb="2" eb="4">
      <t>ホケン</t>
    </rPh>
    <rPh sb="4" eb="6">
      <t>チョウサ</t>
    </rPh>
    <rPh sb="6" eb="7">
      <t>ヒョウ</t>
    </rPh>
    <rPh sb="7" eb="9">
      <t>トッキ</t>
    </rPh>
    <rPh sb="9" eb="11">
      <t>ジコウ</t>
    </rPh>
    <phoneticPr fontId="7"/>
  </si>
  <si>
    <t>項番</t>
    <rPh sb="0" eb="1">
      <t>コウ</t>
    </rPh>
    <rPh sb="1" eb="2">
      <t>バン</t>
    </rPh>
    <phoneticPr fontId="7"/>
  </si>
  <si>
    <t>群情報</t>
    <rPh sb="0" eb="1">
      <t>グン</t>
    </rPh>
    <rPh sb="1" eb="3">
      <t>ジョウホウ</t>
    </rPh>
    <phoneticPr fontId="7"/>
  </si>
  <si>
    <t>特　記　事　項　の　内　容</t>
    <rPh sb="0" eb="1">
      <t>トク</t>
    </rPh>
    <rPh sb="2" eb="3">
      <t>キ</t>
    </rPh>
    <rPh sb="4" eb="5">
      <t>コト</t>
    </rPh>
    <rPh sb="6" eb="7">
      <t>コウ</t>
    </rPh>
    <rPh sb="10" eb="11">
      <t>ナイ</t>
    </rPh>
    <rPh sb="12" eb="13">
      <t>カタチ</t>
    </rPh>
    <phoneticPr fontId="7"/>
  </si>
  <si>
    <t>麻痺</t>
    <phoneticPr fontId="1"/>
  </si>
  <si>
    <t>1-2</t>
  </si>
  <si>
    <t>1-3</t>
  </si>
  <si>
    <t>拘縮</t>
    <phoneticPr fontId="1"/>
  </si>
  <si>
    <t>寝返り</t>
    <phoneticPr fontId="1"/>
  </si>
  <si>
    <t>起き上がり</t>
    <phoneticPr fontId="1"/>
  </si>
  <si>
    <t>座位保持</t>
    <phoneticPr fontId="1"/>
  </si>
  <si>
    <t>歩行</t>
    <phoneticPr fontId="1"/>
  </si>
  <si>
    <t>立ち上がり</t>
    <phoneticPr fontId="1"/>
  </si>
  <si>
    <t>洗身</t>
    <phoneticPr fontId="1"/>
  </si>
  <si>
    <t>つめ切り</t>
    <phoneticPr fontId="1"/>
  </si>
  <si>
    <t>視力</t>
    <phoneticPr fontId="1"/>
  </si>
  <si>
    <t>聴力</t>
    <rPh sb="0" eb="2">
      <t>チョウリョク</t>
    </rPh>
    <phoneticPr fontId="1"/>
  </si>
  <si>
    <t>1-1</t>
    <phoneticPr fontId="1"/>
  </si>
  <si>
    <t>1-4</t>
    <phoneticPr fontId="1"/>
  </si>
  <si>
    <t>1-5</t>
    <phoneticPr fontId="1"/>
  </si>
  <si>
    <t>1-6</t>
    <phoneticPr fontId="1"/>
  </si>
  <si>
    <t>1-7</t>
    <phoneticPr fontId="1"/>
  </si>
  <si>
    <t>1-8</t>
    <phoneticPr fontId="1"/>
  </si>
  <si>
    <t>1-9</t>
    <phoneticPr fontId="1"/>
  </si>
  <si>
    <t>1-10</t>
    <phoneticPr fontId="1"/>
  </si>
  <si>
    <t>1-11</t>
    <phoneticPr fontId="1"/>
  </si>
  <si>
    <t>1-12</t>
    <phoneticPr fontId="1"/>
  </si>
  <si>
    <t>1-13</t>
    <phoneticPr fontId="1"/>
  </si>
  <si>
    <t>自分で支えれば可</t>
    <rPh sb="0" eb="2">
      <t>ジブン</t>
    </rPh>
    <rPh sb="3" eb="4">
      <t>ササ</t>
    </rPh>
    <rPh sb="7" eb="8">
      <t>カ</t>
    </rPh>
    <phoneticPr fontId="1"/>
  </si>
  <si>
    <t>できる</t>
    <phoneticPr fontId="1"/>
  </si>
  <si>
    <t>つかまれば可</t>
    <rPh sb="5" eb="6">
      <t>カ</t>
    </rPh>
    <phoneticPr fontId="1"/>
  </si>
  <si>
    <t>できない</t>
    <phoneticPr fontId="1"/>
  </si>
  <si>
    <t>支えが必要</t>
    <rPh sb="0" eb="1">
      <t>ササ</t>
    </rPh>
    <rPh sb="3" eb="5">
      <t>ヒツヨウ</t>
    </rPh>
    <phoneticPr fontId="1"/>
  </si>
  <si>
    <t>一部介助</t>
    <rPh sb="0" eb="2">
      <t>イチブ</t>
    </rPh>
    <rPh sb="2" eb="4">
      <t>カイジョ</t>
    </rPh>
    <phoneticPr fontId="1"/>
  </si>
  <si>
    <t>全介助</t>
    <rPh sb="0" eb="1">
      <t>ゼン</t>
    </rPh>
    <rPh sb="1" eb="3">
      <t>カイジョ</t>
    </rPh>
    <phoneticPr fontId="1"/>
  </si>
  <si>
    <t>行っていない</t>
    <rPh sb="0" eb="1">
      <t>オコナ</t>
    </rPh>
    <phoneticPr fontId="1"/>
  </si>
  <si>
    <t>普通</t>
    <rPh sb="0" eb="2">
      <t>フツウ</t>
    </rPh>
    <phoneticPr fontId="1"/>
  </si>
  <si>
    <t>１ｍ先が見える</t>
    <rPh sb="2" eb="3">
      <t>サキ</t>
    </rPh>
    <rPh sb="4" eb="5">
      <t>ミ</t>
    </rPh>
    <phoneticPr fontId="1"/>
  </si>
  <si>
    <t>目の前が見える</t>
    <rPh sb="0" eb="1">
      <t>メ</t>
    </rPh>
    <rPh sb="2" eb="3">
      <t>マエ</t>
    </rPh>
    <rPh sb="4" eb="5">
      <t>ミ</t>
    </rPh>
    <phoneticPr fontId="1"/>
  </si>
  <si>
    <t>ほとんど見えず</t>
    <rPh sb="4" eb="5">
      <t>ミ</t>
    </rPh>
    <phoneticPr fontId="1"/>
  </si>
  <si>
    <t>判断不能</t>
    <rPh sb="0" eb="2">
      <t>ハンダン</t>
    </rPh>
    <rPh sb="2" eb="4">
      <t>フノウ</t>
    </rPh>
    <phoneticPr fontId="1"/>
  </si>
  <si>
    <t>やっと聞こえる</t>
    <rPh sb="3" eb="4">
      <t>キ</t>
    </rPh>
    <phoneticPr fontId="1"/>
  </si>
  <si>
    <t>大声が聞こえる</t>
    <rPh sb="0" eb="2">
      <t>オオゴエ</t>
    </rPh>
    <rPh sb="3" eb="4">
      <t>キ</t>
    </rPh>
    <phoneticPr fontId="1"/>
  </si>
  <si>
    <t>ほとんど聞こえず</t>
    <rPh sb="4" eb="5">
      <t>キ</t>
    </rPh>
    <phoneticPr fontId="1"/>
  </si>
  <si>
    <t>第２群　生活機能</t>
  </si>
  <si>
    <t>2-1</t>
    <phoneticPr fontId="1"/>
  </si>
  <si>
    <t>2-2</t>
  </si>
  <si>
    <t>2-3</t>
  </si>
  <si>
    <t>2-4</t>
  </si>
  <si>
    <t>2-5</t>
  </si>
  <si>
    <t>2-6</t>
  </si>
  <si>
    <t>2-7</t>
  </si>
  <si>
    <t>2-8</t>
  </si>
  <si>
    <t>2-9</t>
  </si>
  <si>
    <t>2-10</t>
    <phoneticPr fontId="1"/>
  </si>
  <si>
    <t>2-11</t>
    <phoneticPr fontId="1"/>
  </si>
  <si>
    <t>2-12</t>
    <phoneticPr fontId="1"/>
  </si>
  <si>
    <t>移乗</t>
    <rPh sb="0" eb="2">
      <t>イジョウ</t>
    </rPh>
    <phoneticPr fontId="1"/>
  </si>
  <si>
    <t>移動</t>
    <rPh sb="0" eb="2">
      <t>イドウ</t>
    </rPh>
    <phoneticPr fontId="1"/>
  </si>
  <si>
    <t>えん下</t>
    <rPh sb="2" eb="3">
      <t>シタ</t>
    </rPh>
    <phoneticPr fontId="1"/>
  </si>
  <si>
    <t>食事摂取</t>
    <rPh sb="0" eb="2">
      <t>ショクジ</t>
    </rPh>
    <rPh sb="2" eb="4">
      <t>セッシュ</t>
    </rPh>
    <phoneticPr fontId="1"/>
  </si>
  <si>
    <t>排尿</t>
    <rPh sb="0" eb="2">
      <t>ハイニョウ</t>
    </rPh>
    <phoneticPr fontId="1"/>
  </si>
  <si>
    <t>排便</t>
    <rPh sb="0" eb="2">
      <t>ハイベン</t>
    </rPh>
    <phoneticPr fontId="1"/>
  </si>
  <si>
    <t>口腔清潔</t>
    <rPh sb="0" eb="2">
      <t>コウクウ</t>
    </rPh>
    <rPh sb="2" eb="4">
      <t>セイケツ</t>
    </rPh>
    <phoneticPr fontId="1"/>
  </si>
  <si>
    <t>洗顔</t>
    <rPh sb="0" eb="2">
      <t>センガン</t>
    </rPh>
    <phoneticPr fontId="1"/>
  </si>
  <si>
    <t>整髪</t>
    <rPh sb="0" eb="2">
      <t>セイハツ</t>
    </rPh>
    <phoneticPr fontId="1"/>
  </si>
  <si>
    <t>上衣の着脱</t>
    <rPh sb="0" eb="1">
      <t>ウエ</t>
    </rPh>
    <rPh sb="1" eb="2">
      <t>ギヌ</t>
    </rPh>
    <rPh sb="3" eb="5">
      <t>チャクダツ</t>
    </rPh>
    <phoneticPr fontId="1"/>
  </si>
  <si>
    <t>ズボン等の着脱</t>
    <rPh sb="3" eb="4">
      <t>トウ</t>
    </rPh>
    <rPh sb="5" eb="7">
      <t>チャクダツ</t>
    </rPh>
    <phoneticPr fontId="1"/>
  </si>
  <si>
    <t>外出頻度</t>
    <rPh sb="0" eb="2">
      <t>ガイシュツ</t>
    </rPh>
    <rPh sb="2" eb="4">
      <t>ヒンド</t>
    </rPh>
    <phoneticPr fontId="1"/>
  </si>
  <si>
    <t>見守り等</t>
    <rPh sb="0" eb="2">
      <t>ミマモ</t>
    </rPh>
    <rPh sb="3" eb="4">
      <t>トウ</t>
    </rPh>
    <phoneticPr fontId="1"/>
  </si>
  <si>
    <t>介助されていない</t>
    <rPh sb="0" eb="2">
      <t>カイジョ</t>
    </rPh>
    <phoneticPr fontId="1"/>
  </si>
  <si>
    <t>週１回以上</t>
    <rPh sb="0" eb="1">
      <t>シュウ</t>
    </rPh>
    <rPh sb="2" eb="3">
      <t>カイ</t>
    </rPh>
    <rPh sb="3" eb="5">
      <t>イジョウ</t>
    </rPh>
    <phoneticPr fontId="1"/>
  </si>
  <si>
    <t>月１回以上</t>
    <rPh sb="0" eb="1">
      <t>ツキ</t>
    </rPh>
    <rPh sb="2" eb="3">
      <t>カイ</t>
    </rPh>
    <rPh sb="3" eb="5">
      <t>イジョウ</t>
    </rPh>
    <phoneticPr fontId="1"/>
  </si>
  <si>
    <t>月１回未満</t>
    <rPh sb="0" eb="1">
      <t>ツキ</t>
    </rPh>
    <rPh sb="2" eb="3">
      <t>カイ</t>
    </rPh>
    <rPh sb="3" eb="5">
      <t>ミマン</t>
    </rPh>
    <phoneticPr fontId="1"/>
  </si>
  <si>
    <t>第１群　身体機能・起居動作</t>
  </si>
  <si>
    <t>第３群　認知機能</t>
    <rPh sb="4" eb="6">
      <t>ニンチ</t>
    </rPh>
    <rPh sb="6" eb="8">
      <t>キノウ</t>
    </rPh>
    <phoneticPr fontId="1"/>
  </si>
  <si>
    <t>3-2</t>
    <phoneticPr fontId="1"/>
  </si>
  <si>
    <t>3-1</t>
  </si>
  <si>
    <t>3-3</t>
  </si>
  <si>
    <t>3-4</t>
  </si>
  <si>
    <t>3-5</t>
  </si>
  <si>
    <t>3-6</t>
  </si>
  <si>
    <t>3-7</t>
  </si>
  <si>
    <t>3-8</t>
  </si>
  <si>
    <t>3-9</t>
  </si>
  <si>
    <t>意思の伝達</t>
    <rPh sb="0" eb="2">
      <t>イシ</t>
    </rPh>
    <rPh sb="3" eb="5">
      <t>デンタツ</t>
    </rPh>
    <phoneticPr fontId="1"/>
  </si>
  <si>
    <t>毎日の
日課を理解</t>
    <rPh sb="0" eb="2">
      <t>マイニチ</t>
    </rPh>
    <rPh sb="4" eb="6">
      <t>ニッカ</t>
    </rPh>
    <rPh sb="7" eb="9">
      <t>リカイ</t>
    </rPh>
    <phoneticPr fontId="1"/>
  </si>
  <si>
    <t>生年月日を言う</t>
    <rPh sb="0" eb="2">
      <t>セイネン</t>
    </rPh>
    <rPh sb="2" eb="4">
      <t>ガッピ</t>
    </rPh>
    <rPh sb="5" eb="6">
      <t>イ</t>
    </rPh>
    <phoneticPr fontId="1"/>
  </si>
  <si>
    <t>短期記憶</t>
    <rPh sb="0" eb="2">
      <t>タンキ</t>
    </rPh>
    <rPh sb="2" eb="4">
      <t>キオク</t>
    </rPh>
    <phoneticPr fontId="1"/>
  </si>
  <si>
    <t>自分の
名前を言う</t>
    <rPh sb="0" eb="2">
      <t>ジブン</t>
    </rPh>
    <rPh sb="4" eb="6">
      <t>ナマエ</t>
    </rPh>
    <rPh sb="7" eb="8">
      <t>イ</t>
    </rPh>
    <phoneticPr fontId="1"/>
  </si>
  <si>
    <t>今の季節を理解</t>
    <rPh sb="0" eb="1">
      <t>イマ</t>
    </rPh>
    <rPh sb="2" eb="4">
      <t>キセツ</t>
    </rPh>
    <rPh sb="5" eb="7">
      <t>リカイ</t>
    </rPh>
    <phoneticPr fontId="1"/>
  </si>
  <si>
    <t>場所の理解</t>
    <rPh sb="0" eb="2">
      <t>バショ</t>
    </rPh>
    <rPh sb="3" eb="5">
      <t>リカイ</t>
    </rPh>
    <phoneticPr fontId="1"/>
  </si>
  <si>
    <t>徘徊</t>
    <rPh sb="0" eb="2">
      <t>ハイカイ</t>
    </rPh>
    <phoneticPr fontId="1"/>
  </si>
  <si>
    <t>外出して戻れない</t>
    <rPh sb="0" eb="2">
      <t>ガイシュツ</t>
    </rPh>
    <rPh sb="4" eb="5">
      <t>モド</t>
    </rPh>
    <phoneticPr fontId="1"/>
  </si>
  <si>
    <t>できる</t>
    <phoneticPr fontId="1"/>
  </si>
  <si>
    <t>ときどきできる</t>
    <phoneticPr fontId="1"/>
  </si>
  <si>
    <t>ほとんど不可</t>
    <rPh sb="4" eb="6">
      <t>フカ</t>
    </rPh>
    <phoneticPr fontId="1"/>
  </si>
  <si>
    <t>ない</t>
    <phoneticPr fontId="1"/>
  </si>
  <si>
    <t>ときどきある</t>
    <phoneticPr fontId="1"/>
  </si>
  <si>
    <t>4-4</t>
    <phoneticPr fontId="1"/>
  </si>
  <si>
    <t>4-1</t>
  </si>
  <si>
    <t>4-2</t>
  </si>
  <si>
    <t>4-5</t>
  </si>
  <si>
    <t>4-6</t>
  </si>
  <si>
    <t>4-7</t>
  </si>
  <si>
    <t>4-8</t>
  </si>
  <si>
    <t>4-9</t>
  </si>
  <si>
    <t>4-10</t>
    <phoneticPr fontId="1"/>
  </si>
  <si>
    <t>4-11</t>
    <phoneticPr fontId="1"/>
  </si>
  <si>
    <t>4-12</t>
    <phoneticPr fontId="1"/>
  </si>
  <si>
    <t>4-13</t>
    <phoneticPr fontId="1"/>
  </si>
  <si>
    <t>4-14</t>
    <phoneticPr fontId="1"/>
  </si>
  <si>
    <t>4-15</t>
    <phoneticPr fontId="1"/>
  </si>
  <si>
    <t>被害的</t>
    <rPh sb="0" eb="3">
      <t>ヒガイテキ</t>
    </rPh>
    <phoneticPr fontId="1"/>
  </si>
  <si>
    <t>作話</t>
    <rPh sb="0" eb="1">
      <t>ツク</t>
    </rPh>
    <rPh sb="1" eb="2">
      <t>バナシ</t>
    </rPh>
    <phoneticPr fontId="1"/>
  </si>
  <si>
    <t>4-3</t>
    <phoneticPr fontId="1"/>
  </si>
  <si>
    <t>昼夜逆転</t>
    <rPh sb="0" eb="2">
      <t>チュウヤ</t>
    </rPh>
    <rPh sb="2" eb="4">
      <t>ギャクテン</t>
    </rPh>
    <phoneticPr fontId="1"/>
  </si>
  <si>
    <t>大声を出す</t>
    <rPh sb="0" eb="2">
      <t>オオゴエ</t>
    </rPh>
    <rPh sb="3" eb="4">
      <t>ダ</t>
    </rPh>
    <phoneticPr fontId="1"/>
  </si>
  <si>
    <t>介護に抵抗</t>
    <rPh sb="0" eb="2">
      <t>カイゴ</t>
    </rPh>
    <rPh sb="3" eb="5">
      <t>テイコウ</t>
    </rPh>
    <phoneticPr fontId="1"/>
  </si>
  <si>
    <t>落ち着きなし</t>
    <rPh sb="0" eb="1">
      <t>オ</t>
    </rPh>
    <rPh sb="2" eb="3">
      <t>ツ</t>
    </rPh>
    <phoneticPr fontId="1"/>
  </si>
  <si>
    <t>一人で
出たがる</t>
    <rPh sb="0" eb="2">
      <t>ヒトリ</t>
    </rPh>
    <rPh sb="4" eb="5">
      <t>デ</t>
    </rPh>
    <phoneticPr fontId="1"/>
  </si>
  <si>
    <t>収集癖</t>
    <rPh sb="0" eb="2">
      <t>シュウシュウ</t>
    </rPh>
    <rPh sb="2" eb="3">
      <t>ヘキ</t>
    </rPh>
    <phoneticPr fontId="1"/>
  </si>
  <si>
    <t>物や衣類
を壊す</t>
    <rPh sb="0" eb="1">
      <t>モノ</t>
    </rPh>
    <rPh sb="2" eb="4">
      <t>イルイ</t>
    </rPh>
    <rPh sb="6" eb="7">
      <t>コワ</t>
    </rPh>
    <phoneticPr fontId="1"/>
  </si>
  <si>
    <t>独り言・
独り笑い</t>
    <rPh sb="0" eb="1">
      <t>ヒト</t>
    </rPh>
    <rPh sb="2" eb="3">
      <t>ゴト</t>
    </rPh>
    <rPh sb="5" eb="6">
      <t>ヒト</t>
    </rPh>
    <rPh sb="7" eb="8">
      <t>ワラ</t>
    </rPh>
    <phoneticPr fontId="1"/>
  </si>
  <si>
    <t>自分勝手に行動する</t>
    <rPh sb="0" eb="2">
      <t>ジブン</t>
    </rPh>
    <rPh sb="2" eb="4">
      <t>カッテ</t>
    </rPh>
    <rPh sb="5" eb="7">
      <t>コウドウ</t>
    </rPh>
    <phoneticPr fontId="1"/>
  </si>
  <si>
    <t>話がまとまらない</t>
    <rPh sb="0" eb="1">
      <t>ハナシ</t>
    </rPh>
    <phoneticPr fontId="1"/>
  </si>
  <si>
    <t>ない</t>
    <phoneticPr fontId="1"/>
  </si>
  <si>
    <t>ときどきある</t>
    <phoneticPr fontId="1"/>
  </si>
  <si>
    <t>ある</t>
    <phoneticPr fontId="1"/>
  </si>
  <si>
    <t>第４群　精神・行動障害</t>
    <rPh sb="4" eb="6">
      <t>セイシン</t>
    </rPh>
    <rPh sb="7" eb="9">
      <t>コウドウ</t>
    </rPh>
    <rPh sb="9" eb="11">
      <t>ショウガイ</t>
    </rPh>
    <phoneticPr fontId="1"/>
  </si>
  <si>
    <t>第５群　社会生活への適応</t>
    <rPh sb="4" eb="6">
      <t>シャカイ</t>
    </rPh>
    <rPh sb="6" eb="8">
      <t>セイカツ</t>
    </rPh>
    <rPh sb="10" eb="12">
      <t>テキオウ</t>
    </rPh>
    <phoneticPr fontId="1"/>
  </si>
  <si>
    <t>5-1</t>
  </si>
  <si>
    <t>5-2</t>
  </si>
  <si>
    <t>5-3</t>
  </si>
  <si>
    <t>5-5</t>
  </si>
  <si>
    <t>5-6</t>
  </si>
  <si>
    <t>5-4</t>
    <phoneticPr fontId="1"/>
  </si>
  <si>
    <t>薬の内服</t>
    <rPh sb="0" eb="1">
      <t>クスリ</t>
    </rPh>
    <rPh sb="2" eb="4">
      <t>ナイフク</t>
    </rPh>
    <phoneticPr fontId="1"/>
  </si>
  <si>
    <t>金銭の管理</t>
    <rPh sb="0" eb="2">
      <t>キンセン</t>
    </rPh>
    <rPh sb="3" eb="5">
      <t>カンリ</t>
    </rPh>
    <phoneticPr fontId="1"/>
  </si>
  <si>
    <t>日常の
意思決定</t>
    <rPh sb="0" eb="2">
      <t>ニチジョウ</t>
    </rPh>
    <rPh sb="4" eb="6">
      <t>イシ</t>
    </rPh>
    <rPh sb="6" eb="8">
      <t>ケッテイ</t>
    </rPh>
    <phoneticPr fontId="1"/>
  </si>
  <si>
    <t>集団への
不適応</t>
    <rPh sb="0" eb="2">
      <t>シュウダン</t>
    </rPh>
    <rPh sb="5" eb="8">
      <t>フテキオウ</t>
    </rPh>
    <phoneticPr fontId="1"/>
  </si>
  <si>
    <t>買い物</t>
    <rPh sb="0" eb="1">
      <t>カ</t>
    </rPh>
    <rPh sb="2" eb="3">
      <t>モノ</t>
    </rPh>
    <phoneticPr fontId="1"/>
  </si>
  <si>
    <t>簡単な調理</t>
    <rPh sb="0" eb="2">
      <t>カンタン</t>
    </rPh>
    <rPh sb="3" eb="5">
      <t>チョウリ</t>
    </rPh>
    <phoneticPr fontId="1"/>
  </si>
  <si>
    <t>特別時以外可</t>
    <rPh sb="0" eb="2">
      <t>トクベツ</t>
    </rPh>
    <rPh sb="2" eb="3">
      <t>ジ</t>
    </rPh>
    <rPh sb="3" eb="5">
      <t>イガイ</t>
    </rPh>
    <rPh sb="5" eb="6">
      <t>カ</t>
    </rPh>
    <phoneticPr fontId="1"/>
  </si>
  <si>
    <t>日常的に困難</t>
    <rPh sb="0" eb="3">
      <t>ニチジョウテキ</t>
    </rPh>
    <rPh sb="4" eb="6">
      <t>コンナン</t>
    </rPh>
    <phoneticPr fontId="1"/>
  </si>
  <si>
    <t>できない</t>
    <phoneticPr fontId="1"/>
  </si>
  <si>
    <t>第６群　過去14日間に受けた特別な医療</t>
    <rPh sb="4" eb="6">
      <t>カコ</t>
    </rPh>
    <rPh sb="8" eb="10">
      <t>ニチカン</t>
    </rPh>
    <rPh sb="11" eb="12">
      <t>ウ</t>
    </rPh>
    <rPh sb="14" eb="16">
      <t>トクベツ</t>
    </rPh>
    <rPh sb="17" eb="19">
      <t>イリョウ</t>
    </rPh>
    <phoneticPr fontId="1"/>
  </si>
  <si>
    <t>6-1</t>
  </si>
  <si>
    <t>6-2</t>
  </si>
  <si>
    <t>6-3</t>
  </si>
  <si>
    <t>6-4</t>
  </si>
  <si>
    <t>6-6</t>
  </si>
  <si>
    <t>6-5</t>
    <phoneticPr fontId="1"/>
  </si>
  <si>
    <t>6-7</t>
    <phoneticPr fontId="1"/>
  </si>
  <si>
    <t>6-8</t>
    <phoneticPr fontId="1"/>
  </si>
  <si>
    <t>6-9</t>
    <phoneticPr fontId="1"/>
  </si>
  <si>
    <t>6-10</t>
    <phoneticPr fontId="1"/>
  </si>
  <si>
    <t>6-11</t>
    <phoneticPr fontId="1"/>
  </si>
  <si>
    <t>6-12</t>
    <phoneticPr fontId="1"/>
  </si>
  <si>
    <t>点滴の管理</t>
    <rPh sb="0" eb="2">
      <t>テンテキ</t>
    </rPh>
    <rPh sb="3" eb="5">
      <t>カンリ</t>
    </rPh>
    <phoneticPr fontId="1"/>
  </si>
  <si>
    <t>中心静脈栄養</t>
    <rPh sb="0" eb="2">
      <t>チュウシン</t>
    </rPh>
    <rPh sb="2" eb="4">
      <t>ジョウミャク</t>
    </rPh>
    <rPh sb="4" eb="6">
      <t>エイヨウ</t>
    </rPh>
    <phoneticPr fontId="1"/>
  </si>
  <si>
    <t>透析</t>
    <rPh sb="0" eb="2">
      <t>トウセキ</t>
    </rPh>
    <phoneticPr fontId="1"/>
  </si>
  <si>
    <t>ストーマの処置</t>
    <rPh sb="5" eb="7">
      <t>ショチ</t>
    </rPh>
    <phoneticPr fontId="1"/>
  </si>
  <si>
    <t>酸素療法</t>
    <rPh sb="0" eb="2">
      <t>サンソ</t>
    </rPh>
    <rPh sb="2" eb="4">
      <t>リョウホウ</t>
    </rPh>
    <phoneticPr fontId="1"/>
  </si>
  <si>
    <t>レスピレーター</t>
    <phoneticPr fontId="1"/>
  </si>
  <si>
    <t>気管切開
の処置</t>
    <rPh sb="0" eb="2">
      <t>キカン</t>
    </rPh>
    <rPh sb="2" eb="4">
      <t>セッカイ</t>
    </rPh>
    <rPh sb="6" eb="8">
      <t>ショチ</t>
    </rPh>
    <phoneticPr fontId="1"/>
  </si>
  <si>
    <t>疼痛の看護</t>
    <rPh sb="0" eb="2">
      <t>トウツウ</t>
    </rPh>
    <rPh sb="3" eb="5">
      <t>カンゴ</t>
    </rPh>
    <phoneticPr fontId="1"/>
  </si>
  <si>
    <t>経管栄養</t>
    <rPh sb="0" eb="1">
      <t>キョウ</t>
    </rPh>
    <rPh sb="1" eb="2">
      <t>カン</t>
    </rPh>
    <rPh sb="2" eb="4">
      <t>エイヨウ</t>
    </rPh>
    <phoneticPr fontId="1"/>
  </si>
  <si>
    <t>モニター測定</t>
    <rPh sb="4" eb="6">
      <t>ソクテイ</t>
    </rPh>
    <phoneticPr fontId="1"/>
  </si>
  <si>
    <t>じょくそう
の処置</t>
    <rPh sb="7" eb="9">
      <t>ショチ</t>
    </rPh>
    <phoneticPr fontId="1"/>
  </si>
  <si>
    <t>カテーテル</t>
    <phoneticPr fontId="1"/>
  </si>
  <si>
    <t>両足での立位</t>
    <phoneticPr fontId="1"/>
  </si>
  <si>
    <t>片足での立位</t>
    <phoneticPr fontId="1"/>
  </si>
  <si>
    <t>感情が不安定</t>
    <rPh sb="0" eb="2">
      <t>カンジョウ</t>
    </rPh>
    <rPh sb="3" eb="6">
      <t>フアンテイ</t>
    </rPh>
    <phoneticPr fontId="1"/>
  </si>
  <si>
    <t>同じ話をする</t>
    <rPh sb="0" eb="1">
      <t>オナ</t>
    </rPh>
    <rPh sb="2" eb="3">
      <t>ハナシ</t>
    </rPh>
    <phoneticPr fontId="1"/>
  </si>
  <si>
    <t>ひどい物忘れ</t>
    <rPh sb="3" eb="5">
      <t>モノワス</t>
    </rPh>
    <phoneticPr fontId="1"/>
  </si>
  <si>
    <t>第１群</t>
    <rPh sb="0" eb="1">
      <t>ダイ</t>
    </rPh>
    <rPh sb="2" eb="3">
      <t>グン</t>
    </rPh>
    <phoneticPr fontId="1"/>
  </si>
  <si>
    <t>麻痺</t>
    <rPh sb="0" eb="2">
      <t>マヒ</t>
    </rPh>
    <phoneticPr fontId="1"/>
  </si>
  <si>
    <t>左上肢</t>
    <rPh sb="0" eb="1">
      <t>ヒダリ</t>
    </rPh>
    <rPh sb="1" eb="3">
      <t>ジョウシ</t>
    </rPh>
    <phoneticPr fontId="1"/>
  </si>
  <si>
    <t>右上肢</t>
    <rPh sb="0" eb="1">
      <t>ミギ</t>
    </rPh>
    <rPh sb="1" eb="3">
      <t>ジョウシ</t>
    </rPh>
    <phoneticPr fontId="1"/>
  </si>
  <si>
    <t>左下肢</t>
    <rPh sb="0" eb="1">
      <t>ヒダリ</t>
    </rPh>
    <rPh sb="1" eb="3">
      <t>カシ</t>
    </rPh>
    <phoneticPr fontId="1"/>
  </si>
  <si>
    <t>右下肢</t>
    <rPh sb="0" eb="1">
      <t>ミギ</t>
    </rPh>
    <rPh sb="1" eb="3">
      <t>カシ</t>
    </rPh>
    <phoneticPr fontId="1"/>
  </si>
  <si>
    <t>その他</t>
    <rPh sb="2" eb="3">
      <t>ホカ</t>
    </rPh>
    <phoneticPr fontId="1"/>
  </si>
  <si>
    <t>拘縮</t>
    <rPh sb="0" eb="1">
      <t>コウ</t>
    </rPh>
    <rPh sb="1" eb="2">
      <t>チヂミ</t>
    </rPh>
    <phoneticPr fontId="1"/>
  </si>
  <si>
    <t>肩</t>
    <rPh sb="0" eb="1">
      <t>カタ</t>
    </rPh>
    <phoneticPr fontId="1"/>
  </si>
  <si>
    <t>股</t>
    <rPh sb="0" eb="1">
      <t>マタ</t>
    </rPh>
    <phoneticPr fontId="1"/>
  </si>
  <si>
    <t>膝</t>
    <rPh sb="0" eb="1">
      <t>ヒザ</t>
    </rPh>
    <phoneticPr fontId="1"/>
  </si>
  <si>
    <t>第６群</t>
    <rPh sb="0" eb="1">
      <t>ダイ</t>
    </rPh>
    <rPh sb="2" eb="3">
      <t>グン</t>
    </rPh>
    <phoneticPr fontId="1"/>
  </si>
  <si>
    <t>点滴</t>
    <rPh sb="0" eb="2">
      <t>テンテキ</t>
    </rPh>
    <phoneticPr fontId="1"/>
  </si>
  <si>
    <t>中心静脈</t>
    <rPh sb="0" eb="2">
      <t>チュウシン</t>
    </rPh>
    <rPh sb="2" eb="4">
      <t>ジョウミャク</t>
    </rPh>
    <phoneticPr fontId="1"/>
  </si>
  <si>
    <t>ストーマ</t>
    <phoneticPr fontId="1"/>
  </si>
  <si>
    <t>レスピ</t>
    <phoneticPr fontId="1"/>
  </si>
  <si>
    <t>気管切開</t>
    <rPh sb="0" eb="2">
      <t>キカン</t>
    </rPh>
    <rPh sb="2" eb="4">
      <t>セッカイ</t>
    </rPh>
    <phoneticPr fontId="1"/>
  </si>
  <si>
    <t>疼痛看護</t>
    <rPh sb="0" eb="2">
      <t>トウツウ</t>
    </rPh>
    <rPh sb="2" eb="4">
      <t>カンゴ</t>
    </rPh>
    <phoneticPr fontId="1"/>
  </si>
  <si>
    <t>モニター</t>
    <phoneticPr fontId="1"/>
  </si>
  <si>
    <t>じょくそう</t>
    <phoneticPr fontId="1"/>
  </si>
  <si>
    <t>第７群　日常生活自立度</t>
    <rPh sb="4" eb="6">
      <t>ニチジョウ</t>
    </rPh>
    <rPh sb="6" eb="8">
      <t>セイカツ</t>
    </rPh>
    <rPh sb="8" eb="11">
      <t>ジリツド</t>
    </rPh>
    <phoneticPr fontId="1"/>
  </si>
  <si>
    <t>7-1</t>
    <phoneticPr fontId="1"/>
  </si>
  <si>
    <t>7-2</t>
    <phoneticPr fontId="1"/>
  </si>
  <si>
    <t>障害自立度</t>
    <rPh sb="0" eb="2">
      <t>ショウガイ</t>
    </rPh>
    <rPh sb="2" eb="5">
      <t>ジリツド</t>
    </rPh>
    <phoneticPr fontId="1"/>
  </si>
  <si>
    <t>認知自立度</t>
    <rPh sb="0" eb="2">
      <t>ニンチ</t>
    </rPh>
    <rPh sb="2" eb="5">
      <t>ジリツド</t>
    </rPh>
    <phoneticPr fontId="1"/>
  </si>
  <si>
    <t>１－１　麻痺等の有無</t>
    <rPh sb="4" eb="6">
      <t>マヒ</t>
    </rPh>
    <rPh sb="6" eb="7">
      <t>トウ</t>
    </rPh>
    <rPh sb="8" eb="10">
      <t>ウム</t>
    </rPh>
    <phoneticPr fontId="7"/>
  </si>
  <si>
    <t>１－２　拘縮の有無</t>
    <rPh sb="7" eb="9">
      <t>ウム</t>
    </rPh>
    <phoneticPr fontId="7"/>
  </si>
  <si>
    <t>１－３　寝返り</t>
    <rPh sb="4" eb="6">
      <t>ネガエ</t>
    </rPh>
    <phoneticPr fontId="7"/>
  </si>
  <si>
    <t>１－４　起き上がり</t>
    <rPh sb="4" eb="5">
      <t>オ</t>
    </rPh>
    <rPh sb="6" eb="7">
      <t>ア</t>
    </rPh>
    <phoneticPr fontId="7"/>
  </si>
  <si>
    <t>１－５　座位保持</t>
    <rPh sb="4" eb="6">
      <t>ザイ</t>
    </rPh>
    <rPh sb="6" eb="8">
      <t>ホジ</t>
    </rPh>
    <phoneticPr fontId="7"/>
  </si>
  <si>
    <t>１－７　歩行</t>
    <rPh sb="4" eb="6">
      <t>ホコウ</t>
    </rPh>
    <phoneticPr fontId="7"/>
  </si>
  <si>
    <t>１－８　立ち上がり</t>
    <rPh sb="4" eb="5">
      <t>タ</t>
    </rPh>
    <rPh sb="6" eb="7">
      <t>ア</t>
    </rPh>
    <phoneticPr fontId="7"/>
  </si>
  <si>
    <t>１－９　片足での立位</t>
    <rPh sb="4" eb="6">
      <t>カタアシ</t>
    </rPh>
    <rPh sb="8" eb="10">
      <t>リツイ</t>
    </rPh>
    <phoneticPr fontId="7"/>
  </si>
  <si>
    <t>１－１０　洗身</t>
    <rPh sb="5" eb="6">
      <t>アラ</t>
    </rPh>
    <rPh sb="6" eb="7">
      <t>ミ</t>
    </rPh>
    <phoneticPr fontId="7"/>
  </si>
  <si>
    <t>１－１１　つめ切り</t>
    <rPh sb="7" eb="8">
      <t>キ</t>
    </rPh>
    <phoneticPr fontId="7"/>
  </si>
  <si>
    <t>１－１２　視力</t>
    <rPh sb="5" eb="7">
      <t>シリョク</t>
    </rPh>
    <phoneticPr fontId="7"/>
  </si>
  <si>
    <t>１－１３　聴力</t>
    <rPh sb="5" eb="7">
      <t>チョウリョク</t>
    </rPh>
    <phoneticPr fontId="7"/>
  </si>
  <si>
    <t>２－１　移乗</t>
    <rPh sb="4" eb="6">
      <t>イジョウ</t>
    </rPh>
    <phoneticPr fontId="7"/>
  </si>
  <si>
    <t>２－２　移動</t>
    <rPh sb="4" eb="6">
      <t>イドウ</t>
    </rPh>
    <phoneticPr fontId="7"/>
  </si>
  <si>
    <t>２－３　えん下</t>
    <rPh sb="6" eb="7">
      <t>シタ</t>
    </rPh>
    <phoneticPr fontId="7"/>
  </si>
  <si>
    <t>２－４　食事摂取</t>
    <rPh sb="4" eb="6">
      <t>ショクジ</t>
    </rPh>
    <rPh sb="6" eb="8">
      <t>セッシュ</t>
    </rPh>
    <phoneticPr fontId="7"/>
  </si>
  <si>
    <t>２－５　排尿</t>
    <rPh sb="4" eb="6">
      <t>ハイニョウ</t>
    </rPh>
    <phoneticPr fontId="7"/>
  </si>
  <si>
    <t>２－６　排便</t>
    <rPh sb="4" eb="6">
      <t>ハイベン</t>
    </rPh>
    <phoneticPr fontId="7"/>
  </si>
  <si>
    <t>２－７　口腔清潔</t>
    <rPh sb="4" eb="6">
      <t>コウクウ</t>
    </rPh>
    <rPh sb="6" eb="8">
      <t>セイケツ</t>
    </rPh>
    <phoneticPr fontId="7"/>
  </si>
  <si>
    <t>２－８　洗顔</t>
    <rPh sb="4" eb="6">
      <t>センガン</t>
    </rPh>
    <phoneticPr fontId="7"/>
  </si>
  <si>
    <t>２－９　整髪</t>
    <rPh sb="4" eb="6">
      <t>セイハツ</t>
    </rPh>
    <phoneticPr fontId="7"/>
  </si>
  <si>
    <t>２－１０　上衣の着脱</t>
    <rPh sb="5" eb="6">
      <t>ジョウ</t>
    </rPh>
    <rPh sb="6" eb="7">
      <t>ギヌ</t>
    </rPh>
    <rPh sb="8" eb="10">
      <t>チャクダツ</t>
    </rPh>
    <phoneticPr fontId="7"/>
  </si>
  <si>
    <t>２－１１　ズボン等の着脱</t>
    <rPh sb="8" eb="9">
      <t>トウ</t>
    </rPh>
    <rPh sb="10" eb="12">
      <t>チャクダツ</t>
    </rPh>
    <phoneticPr fontId="7"/>
  </si>
  <si>
    <t>２－１２　外出頻度</t>
    <rPh sb="5" eb="7">
      <t>ガイシュツ</t>
    </rPh>
    <rPh sb="7" eb="9">
      <t>ヒンド</t>
    </rPh>
    <phoneticPr fontId="7"/>
  </si>
  <si>
    <t>３－１　意思の伝達</t>
    <rPh sb="4" eb="6">
      <t>イシ</t>
    </rPh>
    <rPh sb="7" eb="9">
      <t>デンタツ</t>
    </rPh>
    <phoneticPr fontId="7"/>
  </si>
  <si>
    <t>３－２　毎日の日課を理解</t>
    <rPh sb="4" eb="6">
      <t>マイニチ</t>
    </rPh>
    <rPh sb="7" eb="9">
      <t>ニッカ</t>
    </rPh>
    <rPh sb="10" eb="12">
      <t>リカイ</t>
    </rPh>
    <phoneticPr fontId="7"/>
  </si>
  <si>
    <t>３－４　短期記憶</t>
    <rPh sb="4" eb="6">
      <t>タンキ</t>
    </rPh>
    <rPh sb="6" eb="8">
      <t>キオク</t>
    </rPh>
    <phoneticPr fontId="7"/>
  </si>
  <si>
    <t>３－５　自分の名前を言う</t>
    <rPh sb="4" eb="6">
      <t>ジブン</t>
    </rPh>
    <rPh sb="7" eb="9">
      <t>ナマエ</t>
    </rPh>
    <rPh sb="10" eb="11">
      <t>イ</t>
    </rPh>
    <phoneticPr fontId="7"/>
  </si>
  <si>
    <t>３－７　場所の理解</t>
    <rPh sb="4" eb="6">
      <t>バショ</t>
    </rPh>
    <rPh sb="7" eb="9">
      <t>リカイ</t>
    </rPh>
    <phoneticPr fontId="7"/>
  </si>
  <si>
    <t>３－８　徘徊</t>
    <rPh sb="4" eb="6">
      <t>ハイカイ</t>
    </rPh>
    <phoneticPr fontId="7"/>
  </si>
  <si>
    <t>４－１　被害的</t>
    <rPh sb="4" eb="6">
      <t>ヒガイ</t>
    </rPh>
    <rPh sb="6" eb="7">
      <t>テキ</t>
    </rPh>
    <phoneticPr fontId="7"/>
  </si>
  <si>
    <t>４－２　作話</t>
    <rPh sb="4" eb="5">
      <t>ツク</t>
    </rPh>
    <rPh sb="5" eb="6">
      <t>ハナシ</t>
    </rPh>
    <phoneticPr fontId="7"/>
  </si>
  <si>
    <t>４－３　感情が不安定</t>
    <rPh sb="4" eb="6">
      <t>カンジョウ</t>
    </rPh>
    <rPh sb="7" eb="10">
      <t>フアンテイ</t>
    </rPh>
    <phoneticPr fontId="7"/>
  </si>
  <si>
    <t>４－４　昼夜逆転</t>
    <rPh sb="4" eb="6">
      <t>チュウヤ</t>
    </rPh>
    <rPh sb="6" eb="8">
      <t>ギャクテン</t>
    </rPh>
    <phoneticPr fontId="7"/>
  </si>
  <si>
    <t>４－５　同じ話をする</t>
    <rPh sb="4" eb="5">
      <t>オナ</t>
    </rPh>
    <rPh sb="6" eb="7">
      <t>ハナシ</t>
    </rPh>
    <phoneticPr fontId="7"/>
  </si>
  <si>
    <t>４－６　大声を出す</t>
    <rPh sb="4" eb="6">
      <t>オオゴエ</t>
    </rPh>
    <rPh sb="7" eb="8">
      <t>ダ</t>
    </rPh>
    <phoneticPr fontId="7"/>
  </si>
  <si>
    <t>４－７　介護に抵抗</t>
    <rPh sb="4" eb="6">
      <t>カイゴ</t>
    </rPh>
    <rPh sb="7" eb="9">
      <t>テイコウ</t>
    </rPh>
    <phoneticPr fontId="7"/>
  </si>
  <si>
    <t>４－８　落ち着きなし</t>
    <rPh sb="4" eb="5">
      <t>オ</t>
    </rPh>
    <rPh sb="6" eb="7">
      <t>ツ</t>
    </rPh>
    <phoneticPr fontId="7"/>
  </si>
  <si>
    <t xml:space="preserve">４－９　一人で出たがる  </t>
    <rPh sb="4" eb="6">
      <t>ヒトリ</t>
    </rPh>
    <rPh sb="7" eb="8">
      <t>デ</t>
    </rPh>
    <phoneticPr fontId="7"/>
  </si>
  <si>
    <t xml:space="preserve">４－１０　収集癖  </t>
    <rPh sb="5" eb="7">
      <t>シュウシュウ</t>
    </rPh>
    <rPh sb="7" eb="8">
      <t>ヘキ</t>
    </rPh>
    <phoneticPr fontId="7"/>
  </si>
  <si>
    <t xml:space="preserve">４－１１　物や衣類を壊す </t>
    <rPh sb="5" eb="6">
      <t>モノ</t>
    </rPh>
    <rPh sb="7" eb="9">
      <t>イルイ</t>
    </rPh>
    <rPh sb="10" eb="11">
      <t>コワ</t>
    </rPh>
    <phoneticPr fontId="7"/>
  </si>
  <si>
    <t>４－１２　ひどい物忘れ</t>
    <rPh sb="8" eb="10">
      <t>モノワス</t>
    </rPh>
    <phoneticPr fontId="7"/>
  </si>
  <si>
    <t>４－１３　独り言・独り笑い</t>
    <rPh sb="5" eb="6">
      <t>ヒト</t>
    </rPh>
    <rPh sb="7" eb="8">
      <t>ゴト</t>
    </rPh>
    <rPh sb="9" eb="10">
      <t>ヒト</t>
    </rPh>
    <rPh sb="11" eb="12">
      <t>ワラ</t>
    </rPh>
    <phoneticPr fontId="7"/>
  </si>
  <si>
    <t>４－１４　自分勝手に行動する</t>
    <rPh sb="5" eb="7">
      <t>ジブン</t>
    </rPh>
    <rPh sb="7" eb="9">
      <t>カッテ</t>
    </rPh>
    <rPh sb="10" eb="12">
      <t>コウドウ</t>
    </rPh>
    <phoneticPr fontId="7"/>
  </si>
  <si>
    <t>４－１５　話がまとまらない</t>
    <rPh sb="5" eb="6">
      <t>ハナシ</t>
    </rPh>
    <phoneticPr fontId="7"/>
  </si>
  <si>
    <t>５－１　薬の内服</t>
    <rPh sb="4" eb="5">
      <t>クスリ</t>
    </rPh>
    <rPh sb="6" eb="8">
      <t>ナイフク</t>
    </rPh>
    <phoneticPr fontId="7"/>
  </si>
  <si>
    <t>５－２　金銭の管理</t>
    <rPh sb="4" eb="6">
      <t>キンセン</t>
    </rPh>
    <rPh sb="7" eb="9">
      <t>カンリ</t>
    </rPh>
    <phoneticPr fontId="7"/>
  </si>
  <si>
    <t>５－３　日常の意思決定</t>
    <rPh sb="4" eb="6">
      <t>ニチジョウ</t>
    </rPh>
    <rPh sb="7" eb="9">
      <t>イシ</t>
    </rPh>
    <rPh sb="9" eb="11">
      <t>ケッテイ</t>
    </rPh>
    <phoneticPr fontId="7"/>
  </si>
  <si>
    <t>５－４　集団への不適応</t>
    <rPh sb="4" eb="6">
      <t>シュウダン</t>
    </rPh>
    <rPh sb="8" eb="11">
      <t>フテキオウ</t>
    </rPh>
    <phoneticPr fontId="7"/>
  </si>
  <si>
    <t>５－５　買い物</t>
    <rPh sb="4" eb="5">
      <t>カ</t>
    </rPh>
    <rPh sb="6" eb="7">
      <t>モノ</t>
    </rPh>
    <phoneticPr fontId="7"/>
  </si>
  <si>
    <t>５－６　簡単な調理</t>
    <rPh sb="4" eb="6">
      <t>カンタン</t>
    </rPh>
    <rPh sb="7" eb="9">
      <t>チョウリ</t>
    </rPh>
    <phoneticPr fontId="7"/>
  </si>
  <si>
    <t>６－１　点滴の管理</t>
    <rPh sb="4" eb="6">
      <t>テンテキ</t>
    </rPh>
    <rPh sb="7" eb="9">
      <t>カンリ</t>
    </rPh>
    <phoneticPr fontId="7"/>
  </si>
  <si>
    <t>６－２　中心静脈栄養</t>
    <rPh sb="4" eb="6">
      <t>チュウシン</t>
    </rPh>
    <rPh sb="6" eb="8">
      <t>ジョウミャク</t>
    </rPh>
    <rPh sb="8" eb="10">
      <t>エイヨウ</t>
    </rPh>
    <phoneticPr fontId="7"/>
  </si>
  <si>
    <t>６－３　透析</t>
    <rPh sb="4" eb="6">
      <t>トウセキ</t>
    </rPh>
    <phoneticPr fontId="7"/>
  </si>
  <si>
    <t>６－４　ストーマの処置</t>
    <rPh sb="9" eb="11">
      <t>ショチ</t>
    </rPh>
    <phoneticPr fontId="7"/>
  </si>
  <si>
    <t>６－５　酸素療法</t>
    <rPh sb="4" eb="6">
      <t>サンソ</t>
    </rPh>
    <rPh sb="6" eb="8">
      <t>リョウホウ</t>
    </rPh>
    <phoneticPr fontId="7"/>
  </si>
  <si>
    <t>６－６　レスピレーター</t>
    <phoneticPr fontId="7"/>
  </si>
  <si>
    <t>６－７　気管切開の処置</t>
    <rPh sb="4" eb="6">
      <t>キカン</t>
    </rPh>
    <rPh sb="6" eb="8">
      <t>セッカイ</t>
    </rPh>
    <rPh sb="9" eb="11">
      <t>ショチ</t>
    </rPh>
    <phoneticPr fontId="7"/>
  </si>
  <si>
    <t>６－８　疼痛の看護</t>
    <phoneticPr fontId="7"/>
  </si>
  <si>
    <t>６－９　経管栄養</t>
    <rPh sb="4" eb="5">
      <t>キョウ</t>
    </rPh>
    <rPh sb="5" eb="6">
      <t>カン</t>
    </rPh>
    <rPh sb="6" eb="8">
      <t>エイヨウ</t>
    </rPh>
    <phoneticPr fontId="7"/>
  </si>
  <si>
    <t>６－１０　モニター測定</t>
    <rPh sb="9" eb="11">
      <t>ソクテイ</t>
    </rPh>
    <phoneticPr fontId="7"/>
  </si>
  <si>
    <t>６－１１　じょくそうの処置</t>
    <rPh sb="11" eb="13">
      <t>ショチ</t>
    </rPh>
    <phoneticPr fontId="7"/>
  </si>
  <si>
    <t>６－１２　カテーテル</t>
    <phoneticPr fontId="7"/>
  </si>
  <si>
    <t>７－１　障害高齢者自立度</t>
    <rPh sb="4" eb="6">
      <t>ショウガイ</t>
    </rPh>
    <rPh sb="6" eb="9">
      <t>コウレイシャ</t>
    </rPh>
    <rPh sb="9" eb="12">
      <t>ジリツド</t>
    </rPh>
    <phoneticPr fontId="7"/>
  </si>
  <si>
    <t>７－２　認知症高齢者自立度</t>
    <rPh sb="4" eb="6">
      <t>ニンチ</t>
    </rPh>
    <rPh sb="6" eb="7">
      <t>ショウ</t>
    </rPh>
    <rPh sb="7" eb="10">
      <t>コウレイシャ</t>
    </rPh>
    <rPh sb="10" eb="13">
      <t>ジリツド</t>
    </rPh>
    <phoneticPr fontId="7"/>
  </si>
  <si>
    <t>１．身体機能・起居動作</t>
    <phoneticPr fontId="7"/>
  </si>
  <si>
    <t>２．生活機能</t>
    <rPh sb="2" eb="4">
      <t>セイカツ</t>
    </rPh>
    <rPh sb="4" eb="6">
      <t>キノウ</t>
    </rPh>
    <phoneticPr fontId="7"/>
  </si>
  <si>
    <t>３．認知機能</t>
    <rPh sb="2" eb="4">
      <t>ニンチ</t>
    </rPh>
    <rPh sb="4" eb="6">
      <t>キノウ</t>
    </rPh>
    <phoneticPr fontId="7"/>
  </si>
  <si>
    <t>４．精神・行動障害</t>
    <rPh sb="2" eb="4">
      <t>セイシン</t>
    </rPh>
    <rPh sb="5" eb="7">
      <t>コウドウ</t>
    </rPh>
    <rPh sb="7" eb="9">
      <t>ショウガイ</t>
    </rPh>
    <phoneticPr fontId="7"/>
  </si>
  <si>
    <t>５．社会生活への適応</t>
    <rPh sb="2" eb="4">
      <t>シャカイ</t>
    </rPh>
    <rPh sb="4" eb="6">
      <t>セイカツ</t>
    </rPh>
    <rPh sb="8" eb="10">
      <t>テキオウ</t>
    </rPh>
    <phoneticPr fontId="7"/>
  </si>
  <si>
    <t>６．特別な医療</t>
    <phoneticPr fontId="7"/>
  </si>
  <si>
    <t>７．日常生活自立度</t>
    <rPh sb="2" eb="4">
      <t>ニチジョウ</t>
    </rPh>
    <rPh sb="4" eb="6">
      <t>セイカツ</t>
    </rPh>
    <rPh sb="6" eb="9">
      <t>ジリツド</t>
    </rPh>
    <phoneticPr fontId="7"/>
  </si>
  <si>
    <t>群情報</t>
    <rPh sb="0" eb="1">
      <t>グン</t>
    </rPh>
    <rPh sb="1" eb="3">
      <t>ジョウホウ</t>
    </rPh>
    <phoneticPr fontId="1"/>
  </si>
  <si>
    <t>特記事項の内容</t>
    <rPh sb="0" eb="2">
      <t>トッキ</t>
    </rPh>
    <rPh sb="2" eb="4">
      <t>ジコウ</t>
    </rPh>
    <rPh sb="5" eb="7">
      <t>ナイヨウ</t>
    </rPh>
    <phoneticPr fontId="1"/>
  </si>
  <si>
    <t>選択項目</t>
    <rPh sb="0" eb="2">
      <t>センタク</t>
    </rPh>
    <rPh sb="2" eb="4">
      <t>コウモク</t>
    </rPh>
    <phoneticPr fontId="1"/>
  </si>
  <si>
    <t>特記事項</t>
    <rPh sb="0" eb="2">
      <t>トッキ</t>
    </rPh>
    <rPh sb="2" eb="4">
      <t>ジコウ</t>
    </rPh>
    <phoneticPr fontId="1"/>
  </si>
  <si>
    <t>OCR</t>
    <phoneticPr fontId="1"/>
  </si>
  <si>
    <t>年</t>
    <rPh sb="0" eb="1">
      <t>ネン</t>
    </rPh>
    <phoneticPr fontId="1"/>
  </si>
  <si>
    <t>月</t>
    <rPh sb="0" eb="1">
      <t>ガツ</t>
    </rPh>
    <phoneticPr fontId="1"/>
  </si>
  <si>
    <t>性別</t>
    <rPh sb="0" eb="2">
      <t>セイベツ</t>
    </rPh>
    <phoneticPr fontId="1"/>
  </si>
  <si>
    <t>男</t>
    <rPh sb="0" eb="1">
      <t>オトコ</t>
    </rPh>
    <phoneticPr fontId="1"/>
  </si>
  <si>
    <t>女</t>
    <rPh sb="0" eb="1">
      <t>オンナ</t>
    </rPh>
    <phoneticPr fontId="1"/>
  </si>
  <si>
    <t>和暦</t>
    <rPh sb="0" eb="2">
      <t>ワレキ</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</si>
  <si>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</si>
  <si>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</si>
  <si>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</si>
  <si>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</si>
  <si>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保険者番号</t>
    <rPh sb="0" eb="2">
      <t>ホケン</t>
    </rPh>
    <rPh sb="2" eb="3">
      <t>モノ</t>
    </rPh>
    <rPh sb="3" eb="5">
      <t>バンゴウ</t>
    </rPh>
    <phoneticPr fontId="1"/>
  </si>
  <si>
    <t>性別</t>
    <rPh sb="0" eb="2">
      <t>セイベツ</t>
    </rPh>
    <phoneticPr fontId="1"/>
  </si>
  <si>
    <t>生年元号</t>
    <rPh sb="0" eb="2">
      <t>セイネン</t>
    </rPh>
    <rPh sb="2" eb="4">
      <t>ゲンゴウ</t>
    </rPh>
    <phoneticPr fontId="1"/>
  </si>
  <si>
    <t>現在の介護度</t>
    <rPh sb="0" eb="2">
      <t>ゲンザイ</t>
    </rPh>
    <rPh sb="3" eb="5">
      <t>カイゴ</t>
    </rPh>
    <rPh sb="5" eb="6">
      <t>ド</t>
    </rPh>
    <phoneticPr fontId="1"/>
  </si>
  <si>
    <t>介護</t>
    <rPh sb="0" eb="2">
      <t>カイゴ</t>
    </rPh>
    <phoneticPr fontId="1"/>
  </si>
  <si>
    <t>支援</t>
    <rPh sb="0" eb="2">
      <t>シエン</t>
    </rPh>
    <phoneticPr fontId="1"/>
  </si>
  <si>
    <t>なし</t>
    <phoneticPr fontId="1"/>
  </si>
  <si>
    <t>現在介護度</t>
    <rPh sb="0" eb="2">
      <t>ゲンザイ</t>
    </rPh>
    <rPh sb="2" eb="4">
      <t>カイゴ</t>
    </rPh>
    <rPh sb="4" eb="5">
      <t>ド</t>
    </rPh>
    <phoneticPr fontId="1"/>
  </si>
  <si>
    <t>被保険者番号</t>
    <rPh sb="0" eb="1">
      <t>ヒ</t>
    </rPh>
    <rPh sb="1" eb="3">
      <t>ホケン</t>
    </rPh>
    <rPh sb="3" eb="4">
      <t>モノ</t>
    </rPh>
    <rPh sb="4" eb="6">
      <t>バンゴウ</t>
    </rPh>
    <phoneticPr fontId="1"/>
  </si>
  <si>
    <r>
      <t>生年月日　</t>
    </r>
    <r>
      <rPr>
        <u/>
        <sz val="9"/>
        <color theme="1"/>
        <rFont val="ＭＳ Ｐゴシック"/>
        <family val="3"/>
        <charset val="128"/>
        <scheme val="minor"/>
      </rPr>
      <t>（1：明治　2：大正　3：昭和）</t>
    </r>
    <rPh sb="0" eb="2">
      <t>セイネン</t>
    </rPh>
    <rPh sb="2" eb="4">
      <t>ガッピ</t>
    </rPh>
    <rPh sb="8" eb="10">
      <t>メイジ</t>
    </rPh>
    <rPh sb="13" eb="15">
      <t>タイショウ</t>
    </rPh>
    <rPh sb="18" eb="20">
      <t>ショウワ</t>
    </rPh>
    <phoneticPr fontId="1"/>
  </si>
  <si>
    <r>
      <t>現在の介護度　</t>
    </r>
    <r>
      <rPr>
        <u/>
        <sz val="9"/>
        <color theme="1"/>
        <rFont val="ＭＳ Ｐゴシック"/>
        <family val="3"/>
        <charset val="128"/>
        <scheme val="minor"/>
      </rPr>
      <t>（1：介護　2：支援　3：なし）</t>
    </r>
    <rPh sb="0" eb="2">
      <t>ゲンザイ</t>
    </rPh>
    <rPh sb="3" eb="5">
      <t>カイゴ</t>
    </rPh>
    <rPh sb="5" eb="6">
      <t>ド</t>
    </rPh>
    <rPh sb="10" eb="12">
      <t>カイゴ</t>
    </rPh>
    <rPh sb="15" eb="17">
      <t>シエン</t>
    </rPh>
    <phoneticPr fontId="1"/>
  </si>
  <si>
    <t>住宅改修</t>
    <rPh sb="0" eb="2">
      <t>ジュウタク</t>
    </rPh>
    <rPh sb="2" eb="4">
      <t>カイシュウ</t>
    </rPh>
    <phoneticPr fontId="1"/>
  </si>
  <si>
    <t>有</t>
    <rPh sb="0" eb="1">
      <t>ユウ</t>
    </rPh>
    <phoneticPr fontId="1"/>
  </si>
  <si>
    <t>無</t>
    <rPh sb="0" eb="1">
      <t>ム</t>
    </rPh>
    <phoneticPr fontId="1"/>
  </si>
  <si>
    <t>サービス利用　計</t>
    <rPh sb="4" eb="6">
      <t>リヨウ</t>
    </rPh>
    <rPh sb="7" eb="8">
      <t>ケイ</t>
    </rPh>
    <phoneticPr fontId="1"/>
  </si>
  <si>
    <t>概況特記１</t>
    <rPh sb="0" eb="2">
      <t>ガイキョウ</t>
    </rPh>
    <rPh sb="2" eb="4">
      <t>トッキ</t>
    </rPh>
    <phoneticPr fontId="1"/>
  </si>
  <si>
    <t>概況特記２</t>
    <rPh sb="0" eb="2">
      <t>ガイキョウ</t>
    </rPh>
    <rPh sb="2" eb="4">
      <t>トッキ</t>
    </rPh>
    <phoneticPr fontId="1"/>
  </si>
  <si>
    <t>生年月日</t>
    <rPh sb="0" eb="2">
      <t>セイネン</t>
    </rPh>
    <rPh sb="2" eb="4">
      <t>ガッピ</t>
    </rPh>
    <phoneticPr fontId="1"/>
  </si>
  <si>
    <t>実施日</t>
    <rPh sb="0" eb="3">
      <t>ジッシビ</t>
    </rPh>
    <phoneticPr fontId="1"/>
  </si>
  <si>
    <t>概況特記</t>
    <rPh sb="0" eb="2">
      <t>ガイキョウ</t>
    </rPh>
    <rPh sb="2" eb="4">
      <t>トッキ</t>
    </rPh>
    <phoneticPr fontId="1"/>
  </si>
  <si>
    <t>居宅サービス</t>
    <rPh sb="0" eb="2">
      <t>キョタク</t>
    </rPh>
    <phoneticPr fontId="1"/>
  </si>
  <si>
    <t>第１群</t>
    <rPh sb="0" eb="1">
      <t>ダイ</t>
    </rPh>
    <rPh sb="2" eb="3">
      <t>グン</t>
    </rPh>
    <phoneticPr fontId="1"/>
  </si>
  <si>
    <t>第２群</t>
    <rPh sb="0" eb="1">
      <t>ダイ</t>
    </rPh>
    <rPh sb="2" eb="3">
      <t>グン</t>
    </rPh>
    <phoneticPr fontId="1"/>
  </si>
  <si>
    <t>第３群</t>
    <rPh sb="0" eb="1">
      <t>ダイ</t>
    </rPh>
    <rPh sb="2" eb="3">
      <t>グン</t>
    </rPh>
    <phoneticPr fontId="1"/>
  </si>
  <si>
    <t>第４群</t>
    <rPh sb="0" eb="1">
      <t>ダイ</t>
    </rPh>
    <rPh sb="2" eb="3">
      <t>グン</t>
    </rPh>
    <phoneticPr fontId="1"/>
  </si>
  <si>
    <t>第５群</t>
    <rPh sb="0" eb="1">
      <t>ダイ</t>
    </rPh>
    <rPh sb="2" eb="3">
      <t>グン</t>
    </rPh>
    <phoneticPr fontId="1"/>
  </si>
  <si>
    <t>第６群</t>
    <rPh sb="0" eb="1">
      <t>ダイ</t>
    </rPh>
    <rPh sb="2" eb="3">
      <t>グン</t>
    </rPh>
    <phoneticPr fontId="1"/>
  </si>
  <si>
    <t>第７群</t>
    <rPh sb="0" eb="1">
      <t>ダイ</t>
    </rPh>
    <rPh sb="2" eb="3">
      <t>グン</t>
    </rPh>
    <phoneticPr fontId="1"/>
  </si>
  <si>
    <t>７－１　障害高齢者自立度</t>
    <phoneticPr fontId="1"/>
  </si>
  <si>
    <t>警告コード</t>
    <rPh sb="0" eb="2">
      <t>ケイコク</t>
    </rPh>
    <phoneticPr fontId="1"/>
  </si>
  <si>
    <t>特記事項数</t>
    <rPh sb="0" eb="2">
      <t>トッキ</t>
    </rPh>
    <rPh sb="2" eb="4">
      <t>ジコウ</t>
    </rPh>
    <rPh sb="4" eb="5">
      <t>カズ</t>
    </rPh>
    <phoneticPr fontId="1"/>
  </si>
  <si>
    <t>特記ページ</t>
    <rPh sb="0" eb="2">
      <t>トッキ</t>
    </rPh>
    <phoneticPr fontId="1"/>
  </si>
  <si>
    <t>本調査票の使用方法について</t>
    <rPh sb="0" eb="1">
      <t>ホン</t>
    </rPh>
    <rPh sb="1" eb="4">
      <t>チョウサヒョウ</t>
    </rPh>
    <rPh sb="5" eb="7">
      <t>シヨウ</t>
    </rPh>
    <rPh sb="7" eb="9">
      <t>ホウホウ</t>
    </rPh>
    <phoneticPr fontId="1"/>
  </si>
  <si>
    <t>２．　本調査票使用の流れ</t>
    <rPh sb="3" eb="4">
      <t>ホン</t>
    </rPh>
    <rPh sb="4" eb="6">
      <t>チョウサ</t>
    </rPh>
    <rPh sb="6" eb="7">
      <t>ヒョウ</t>
    </rPh>
    <rPh sb="7" eb="9">
      <t>シヨウ</t>
    </rPh>
    <rPh sb="10" eb="11">
      <t>ナガ</t>
    </rPh>
    <phoneticPr fontId="1"/>
  </si>
  <si>
    <t>３．　黄色シートについて</t>
    <rPh sb="3" eb="5">
      <t>キイロ</t>
    </rPh>
    <phoneticPr fontId="1"/>
  </si>
  <si>
    <t>　　　　黄色のシートに調査内容を入力後，赤色シートでエラーを確認し，必要に応じて黄色シートを訂正してください。</t>
    <rPh sb="4" eb="6">
      <t>キイロ</t>
    </rPh>
    <rPh sb="11" eb="13">
      <t>チョウサ</t>
    </rPh>
    <rPh sb="13" eb="15">
      <t>ナイヨウ</t>
    </rPh>
    <rPh sb="16" eb="19">
      <t>ニュウリョクゴ</t>
    </rPh>
    <rPh sb="20" eb="22">
      <t>アカイロ</t>
    </rPh>
    <rPh sb="30" eb="32">
      <t>カクニン</t>
    </rPh>
    <rPh sb="34" eb="36">
      <t>ヒツヨウ</t>
    </rPh>
    <rPh sb="37" eb="38">
      <t>オウ</t>
    </rPh>
    <rPh sb="40" eb="42">
      <t>キイロ</t>
    </rPh>
    <rPh sb="46" eb="48">
      <t>テイセイ</t>
    </rPh>
    <phoneticPr fontId="1"/>
  </si>
  <si>
    <t>　　　　入力は</t>
    <rPh sb="4" eb="6">
      <t>ニュウリョク</t>
    </rPh>
    <phoneticPr fontId="1"/>
  </si>
  <si>
    <t>に行ってください。その他箇所に入力することはできません。</t>
  </si>
  <si>
    <t>もしくは，</t>
    <phoneticPr fontId="1"/>
  </si>
  <si>
    <t>に変わります。</t>
    <rPh sb="1" eb="2">
      <t>カ</t>
    </rPh>
    <phoneticPr fontId="1"/>
  </si>
  <si>
    <t>が残っていないか必ず確認してください。</t>
    <rPh sb="1" eb="2">
      <t>ノコ</t>
    </rPh>
    <rPh sb="8" eb="9">
      <t>カナラ</t>
    </rPh>
    <rPh sb="10" eb="12">
      <t>カクニン</t>
    </rPh>
    <phoneticPr fontId="1"/>
  </si>
  <si>
    <t>は任意項目なので，必要に応じて入力してください。</t>
    <rPh sb="1" eb="3">
      <t>ニンイ</t>
    </rPh>
    <rPh sb="3" eb="5">
      <t>コウモク</t>
    </rPh>
    <rPh sb="9" eb="11">
      <t>ヒツヨウ</t>
    </rPh>
    <rPh sb="12" eb="13">
      <t>オウ</t>
    </rPh>
    <rPh sb="15" eb="17">
      <t>ニュウリョク</t>
    </rPh>
    <phoneticPr fontId="1"/>
  </si>
  <si>
    <t>入力後，各シートに</t>
    <rPh sb="0" eb="3">
      <t>ニュウリョクゴ</t>
    </rPh>
    <rPh sb="4" eb="5">
      <t>カク</t>
    </rPh>
    <phoneticPr fontId="1"/>
  </si>
  <si>
    <r>
      <t>は</t>
    </r>
    <r>
      <rPr>
        <u/>
        <sz val="11"/>
        <color theme="1"/>
        <rFont val="ＭＳ Ｐゴシック"/>
        <family val="3"/>
        <charset val="128"/>
        <scheme val="minor"/>
      </rPr>
      <t>必須項目なので必ず入力してください。</t>
    </r>
    <r>
      <rPr>
        <sz val="11"/>
        <color theme="1"/>
        <rFont val="ＭＳ Ｐゴシック"/>
        <family val="3"/>
        <charset val="128"/>
        <scheme val="minor"/>
      </rPr>
      <t>なお，入力すると</t>
    </r>
    <rPh sb="22" eb="24">
      <t>ニュウリョク</t>
    </rPh>
    <phoneticPr fontId="1"/>
  </si>
  <si>
    <t>４．　赤色シートについて</t>
    <rPh sb="3" eb="5">
      <t>アカイロ</t>
    </rPh>
    <phoneticPr fontId="1"/>
  </si>
  <si>
    <t>１．　はじめに</t>
    <phoneticPr fontId="1"/>
  </si>
  <si>
    <r>
      <t>　　　　入力に不備がある場合，その不備の内容が</t>
    </r>
    <r>
      <rPr>
        <sz val="11"/>
        <color rgb="FFFF0000"/>
        <rFont val="ＭＳ Ｐゴシック"/>
        <family val="3"/>
        <charset val="128"/>
        <scheme val="minor"/>
      </rPr>
      <t>赤色</t>
    </r>
    <r>
      <rPr>
        <sz val="11"/>
        <color theme="1"/>
        <rFont val="ＭＳ Ｐゴシック"/>
        <family val="3"/>
        <charset val="128"/>
        <scheme val="minor"/>
      </rPr>
      <t>もしくは</t>
    </r>
    <r>
      <rPr>
        <sz val="11"/>
        <color rgb="FF00B050"/>
        <rFont val="ＭＳ Ｐゴシック"/>
        <family val="3"/>
        <charset val="128"/>
        <scheme val="minor"/>
      </rPr>
      <t>緑色</t>
    </r>
    <r>
      <rPr>
        <sz val="11"/>
        <color theme="1"/>
        <rFont val="ＭＳ Ｐゴシック"/>
        <family val="3"/>
        <charset val="128"/>
        <scheme val="minor"/>
      </rPr>
      <t>の文字で表記されます。</t>
    </r>
    <rPh sb="4" eb="6">
      <t>ニュウリョク</t>
    </rPh>
    <rPh sb="7" eb="9">
      <t>フビ</t>
    </rPh>
    <rPh sb="12" eb="14">
      <t>バアイ</t>
    </rPh>
    <rPh sb="17" eb="19">
      <t>フビ</t>
    </rPh>
    <rPh sb="20" eb="22">
      <t>ナイヨウ</t>
    </rPh>
    <rPh sb="23" eb="25">
      <t>アカイロ</t>
    </rPh>
    <rPh sb="29" eb="31">
      <t>ミドリイロ</t>
    </rPh>
    <rPh sb="32" eb="34">
      <t>モジ</t>
    </rPh>
    <rPh sb="35" eb="37">
      <t>ヒョウキ</t>
    </rPh>
    <phoneticPr fontId="1"/>
  </si>
  <si>
    <t>５．　緑色シートについて</t>
    <rPh sb="3" eb="5">
      <t>ミドリイロ</t>
    </rPh>
    <phoneticPr fontId="1"/>
  </si>
  <si>
    <r>
      <t>未選択</t>
    </r>
    <r>
      <rPr>
        <sz val="11"/>
        <rFont val="ＭＳ Ｐゴシック"/>
        <family val="3"/>
        <charset val="128"/>
        <scheme val="minor"/>
      </rPr>
      <t>：基本調査項目が選択されていません。</t>
    </r>
    <rPh sb="0" eb="1">
      <t>ミ</t>
    </rPh>
    <rPh sb="1" eb="3">
      <t>センタク</t>
    </rPh>
    <rPh sb="4" eb="6">
      <t>キホン</t>
    </rPh>
    <rPh sb="6" eb="8">
      <t>チョウサ</t>
    </rPh>
    <rPh sb="8" eb="10">
      <t>コウモク</t>
    </rPh>
    <rPh sb="11" eb="13">
      <t>センタク</t>
    </rPh>
    <phoneticPr fontId="1"/>
  </si>
  <si>
    <r>
      <t>選択と特記内容を確認してください</t>
    </r>
    <r>
      <rPr>
        <sz val="11"/>
        <rFont val="ＭＳ Ｐゴシック"/>
        <family val="3"/>
        <charset val="128"/>
        <scheme val="minor"/>
      </rPr>
      <t>：日常生活自立度の選択肢の文言が特記事項の文中に存在しません。</t>
    </r>
    <rPh sb="0" eb="2">
      <t>センタク</t>
    </rPh>
    <rPh sb="3" eb="5">
      <t>トッキ</t>
    </rPh>
    <rPh sb="5" eb="7">
      <t>ナイヨウ</t>
    </rPh>
    <rPh sb="8" eb="10">
      <t>カクニン</t>
    </rPh>
    <rPh sb="17" eb="19">
      <t>ニチジョウ</t>
    </rPh>
    <rPh sb="19" eb="21">
      <t>セイカツ</t>
    </rPh>
    <rPh sb="21" eb="23">
      <t>ジリツ</t>
    </rPh>
    <rPh sb="23" eb="24">
      <t>ド</t>
    </rPh>
    <rPh sb="25" eb="28">
      <t>センタクシ</t>
    </rPh>
    <rPh sb="29" eb="31">
      <t>モンゴン</t>
    </rPh>
    <rPh sb="32" eb="34">
      <t>トッキ</t>
    </rPh>
    <rPh sb="34" eb="36">
      <t>ジコウ</t>
    </rPh>
    <rPh sb="37" eb="39">
      <t>ブンチュウ</t>
    </rPh>
    <rPh sb="40" eb="42">
      <t>ソンザイ</t>
    </rPh>
    <phoneticPr fontId="1"/>
  </si>
  <si>
    <t>各エラーの意味(一部)</t>
    <rPh sb="0" eb="1">
      <t>カク</t>
    </rPh>
    <rPh sb="5" eb="7">
      <t>イミ</t>
    </rPh>
    <rPh sb="8" eb="10">
      <t>イチブ</t>
    </rPh>
    <phoneticPr fontId="1"/>
  </si>
  <si>
    <t>基本情報</t>
    <rPh sb="0" eb="2">
      <t>キホン</t>
    </rPh>
    <rPh sb="2" eb="4">
      <t>ジョウホウ</t>
    </rPh>
    <phoneticPr fontId="1"/>
  </si>
  <si>
    <t>赤字</t>
    <rPh sb="0" eb="2">
      <t>アカジ</t>
    </rPh>
    <phoneticPr fontId="1"/>
  </si>
  <si>
    <t>緑字</t>
    <rPh sb="0" eb="1">
      <t>ミドリ</t>
    </rPh>
    <rPh sb="1" eb="2">
      <t>ジ</t>
    </rPh>
    <phoneticPr fontId="1"/>
  </si>
  <si>
    <t>赤エラー</t>
    <rPh sb="0" eb="1">
      <t>アカ</t>
    </rPh>
    <phoneticPr fontId="1"/>
  </si>
  <si>
    <t>緑エラー</t>
    <rPh sb="0" eb="1">
      <t>ミドリ</t>
    </rPh>
    <phoneticPr fontId="1"/>
  </si>
  <si>
    <t>STEP1　エラーチェックの結果</t>
    <rPh sb="14" eb="16">
      <t>ケッカ</t>
    </rPh>
    <phoneticPr fontId="1"/>
  </si>
  <si>
    <t>STEP2　特記事項の校正</t>
    <rPh sb="6" eb="8">
      <t>トッキ</t>
    </rPh>
    <rPh sb="8" eb="10">
      <t>ジコウ</t>
    </rPh>
    <rPh sb="11" eb="13">
      <t>コウセイ</t>
    </rPh>
    <phoneticPr fontId="1"/>
  </si>
  <si>
    <t>入力誤りが残っています！！赤色シートで内容を確認し，黄色シートの該当箇所を必ず訂正してください。</t>
    <rPh sb="0" eb="2">
      <t>ニュウリョク</t>
    </rPh>
    <rPh sb="2" eb="3">
      <t>アヤマ</t>
    </rPh>
    <rPh sb="5" eb="6">
      <t>ノコ</t>
    </rPh>
    <rPh sb="13" eb="15">
      <t>アカイロ</t>
    </rPh>
    <rPh sb="19" eb="21">
      <t>ナイヨウ</t>
    </rPh>
    <rPh sb="22" eb="24">
      <t>カクニン</t>
    </rPh>
    <rPh sb="26" eb="28">
      <t>キイロ</t>
    </rPh>
    <rPh sb="32" eb="34">
      <t>ガイトウ</t>
    </rPh>
    <rPh sb="34" eb="36">
      <t>カショ</t>
    </rPh>
    <rPh sb="37" eb="38">
      <t>カナラ</t>
    </rPh>
    <rPh sb="39" eb="41">
      <t>テイセイ</t>
    </rPh>
    <phoneticPr fontId="1"/>
  </si>
  <si>
    <t>エラーはありません。ＳＴＥＰ２に進んでください。</t>
    <rPh sb="16" eb="17">
      <t>スス</t>
    </rPh>
    <phoneticPr fontId="1"/>
  </si>
  <si>
    <t>入力の不備が疑われる箇所が残っています。赤色シート，黄色シートで内容を確認してください。問題がなければＳＴＥＰ２に進んでください。</t>
    <rPh sb="0" eb="2">
      <t>ニュウリョク</t>
    </rPh>
    <rPh sb="3" eb="5">
      <t>フビ</t>
    </rPh>
    <rPh sb="6" eb="7">
      <t>ウタガ</t>
    </rPh>
    <rPh sb="10" eb="12">
      <t>カショ</t>
    </rPh>
    <rPh sb="13" eb="14">
      <t>ノコ</t>
    </rPh>
    <rPh sb="26" eb="28">
      <t>キイロ</t>
    </rPh>
    <rPh sb="44" eb="46">
      <t>モンダイ</t>
    </rPh>
    <rPh sb="57" eb="58">
      <t>スス</t>
    </rPh>
    <phoneticPr fontId="1"/>
  </si>
  <si>
    <t>STEP3　印刷</t>
    <rPh sb="6" eb="8">
      <t>インサツ</t>
    </rPh>
    <phoneticPr fontId="1"/>
  </si>
  <si>
    <t>名前</t>
    <rPh sb="0" eb="2">
      <t>ナマエ</t>
    </rPh>
    <phoneticPr fontId="1"/>
  </si>
  <si>
    <t>訪問調査先℡</t>
    <rPh sb="0" eb="2">
      <t>ホウモン</t>
    </rPh>
    <rPh sb="2" eb="5">
      <t>チョウササキ</t>
    </rPh>
    <phoneticPr fontId="1"/>
  </si>
  <si>
    <t>同席者名前</t>
    <rPh sb="0" eb="3">
      <t>ドウセキシャ</t>
    </rPh>
    <rPh sb="3" eb="5">
      <t>ナマエ</t>
    </rPh>
    <phoneticPr fontId="1"/>
  </si>
  <si>
    <t>同席者の関係</t>
    <rPh sb="0" eb="3">
      <t>ドウセキシャ</t>
    </rPh>
    <rPh sb="4" eb="6">
      <t>カンケイ</t>
    </rPh>
    <phoneticPr fontId="1"/>
  </si>
  <si>
    <t>同席者℡</t>
    <rPh sb="0" eb="3">
      <t>ドウセキシャ</t>
    </rPh>
    <phoneticPr fontId="1"/>
  </si>
  <si>
    <t>日程調整者名前</t>
    <rPh sb="0" eb="2">
      <t>ニッテイ</t>
    </rPh>
    <rPh sb="2" eb="4">
      <t>チョウセイ</t>
    </rPh>
    <rPh sb="4" eb="5">
      <t>シャ</t>
    </rPh>
    <rPh sb="5" eb="7">
      <t>ナマエ</t>
    </rPh>
    <phoneticPr fontId="1"/>
  </si>
  <si>
    <t>日程調整者の関係</t>
    <rPh sb="0" eb="2">
      <t>ニッテイ</t>
    </rPh>
    <rPh sb="2" eb="4">
      <t>チョウセイ</t>
    </rPh>
    <rPh sb="4" eb="5">
      <t>シャ</t>
    </rPh>
    <rPh sb="6" eb="8">
      <t>カンケイ</t>
    </rPh>
    <phoneticPr fontId="1"/>
  </si>
  <si>
    <t>日程調整者の℡</t>
    <rPh sb="0" eb="2">
      <t>ニッテイ</t>
    </rPh>
    <rPh sb="2" eb="4">
      <t>チョウセイ</t>
    </rPh>
    <rPh sb="4" eb="5">
      <t>シャ</t>
    </rPh>
    <phoneticPr fontId="1"/>
  </si>
  <si>
    <t>調査員名前</t>
    <rPh sb="0" eb="3">
      <t>チョウサイン</t>
    </rPh>
    <rPh sb="3" eb="5">
      <t>ナマエ</t>
    </rPh>
    <phoneticPr fontId="1"/>
  </si>
  <si>
    <t>その他特記２</t>
    <rPh sb="2" eb="3">
      <t>ホカ</t>
    </rPh>
    <rPh sb="3" eb="5">
      <t>トッキ</t>
    </rPh>
    <phoneticPr fontId="1"/>
  </si>
  <si>
    <t>その他特記１</t>
    <rPh sb="2" eb="3">
      <t>ホカ</t>
    </rPh>
    <rPh sb="3" eb="5">
      <t>トッキ</t>
    </rPh>
    <phoneticPr fontId="1"/>
  </si>
  <si>
    <t>その他特記</t>
    <rPh sb="2" eb="3">
      <t>タ</t>
    </rPh>
    <rPh sb="3" eb="5">
      <t>トッキ</t>
    </rPh>
    <phoneticPr fontId="1"/>
  </si>
  <si>
    <t>１－６　両足での立位保持</t>
    <rPh sb="4" eb="6">
      <t>リョウアシ</t>
    </rPh>
    <rPh sb="8" eb="10">
      <t>リツイ</t>
    </rPh>
    <rPh sb="10" eb="12">
      <t>ホジ</t>
    </rPh>
    <phoneticPr fontId="7"/>
  </si>
  <si>
    <t>３－３　生年月日や年齢を言う</t>
    <rPh sb="4" eb="6">
      <t>セイネン</t>
    </rPh>
    <rPh sb="6" eb="8">
      <t>ガッピ</t>
    </rPh>
    <rPh sb="9" eb="11">
      <t>ネンレイ</t>
    </rPh>
    <rPh sb="12" eb="13">
      <t>イ</t>
    </rPh>
    <phoneticPr fontId="7"/>
  </si>
  <si>
    <t>３－６　今の季節を理解する</t>
    <rPh sb="4" eb="5">
      <t>イマ</t>
    </rPh>
    <rPh sb="6" eb="8">
      <t>キセツ</t>
    </rPh>
    <rPh sb="9" eb="11">
      <t>リカイ</t>
    </rPh>
    <phoneticPr fontId="7"/>
  </si>
  <si>
    <t>３－９　外出すると戻れない</t>
    <rPh sb="4" eb="6">
      <t>ガイシュツ</t>
    </rPh>
    <rPh sb="9" eb="10">
      <t>モド</t>
    </rPh>
    <phoneticPr fontId="7"/>
  </si>
  <si>
    <t>選択の有無</t>
    <rPh sb="0" eb="2">
      <t>センタク</t>
    </rPh>
    <rPh sb="3" eb="5">
      <t>ウム</t>
    </rPh>
    <phoneticPr fontId="1"/>
  </si>
  <si>
    <t>特記の有無</t>
    <rPh sb="0" eb="2">
      <t>トッキ</t>
    </rPh>
    <rPh sb="3" eb="5">
      <t>ウム</t>
    </rPh>
    <phoneticPr fontId="1"/>
  </si>
  <si>
    <t>特記字数</t>
    <rPh sb="0" eb="2">
      <t>トッキ</t>
    </rPh>
    <rPh sb="2" eb="4">
      <t>ジスウ</t>
    </rPh>
    <phoneticPr fontId="1"/>
  </si>
  <si>
    <t>自立以外</t>
    <rPh sb="0" eb="2">
      <t>ジリツ</t>
    </rPh>
    <rPh sb="2" eb="4">
      <t>イガイ</t>
    </rPh>
    <phoneticPr fontId="1"/>
  </si>
  <si>
    <t>選択と特記内容</t>
    <rPh sb="0" eb="2">
      <t>センタク</t>
    </rPh>
    <rPh sb="3" eb="5">
      <t>トッキ</t>
    </rPh>
    <rPh sb="5" eb="7">
      <t>ナイヨウ</t>
    </rPh>
    <phoneticPr fontId="1"/>
  </si>
  <si>
    <t>　　　　赤色シートのエラーが解消された後，緑色シートの指示に従って青色シートを印刷してください。</t>
    <rPh sb="4" eb="6">
      <t>アカイロ</t>
    </rPh>
    <rPh sb="14" eb="16">
      <t>カイショウ</t>
    </rPh>
    <rPh sb="19" eb="20">
      <t>ノチ</t>
    </rPh>
    <rPh sb="21" eb="22">
      <t>ミドリ</t>
    </rPh>
    <rPh sb="22" eb="23">
      <t>イロ</t>
    </rPh>
    <rPh sb="27" eb="29">
      <t>シジ</t>
    </rPh>
    <rPh sb="30" eb="31">
      <t>シタガ</t>
    </rPh>
    <rPh sb="33" eb="35">
      <t>アオイロ</t>
    </rPh>
    <rPh sb="39" eb="41">
      <t>インサツ</t>
    </rPh>
    <phoneticPr fontId="1"/>
  </si>
  <si>
    <t>　　　　※入力欄によっては，入力内容を制限したり，入力確認を促すコメントが出ることがあります。その際は，再度入力内容を確認してください。</t>
    <rPh sb="5" eb="7">
      <t>ニュウリョク</t>
    </rPh>
    <rPh sb="7" eb="8">
      <t>ラン</t>
    </rPh>
    <rPh sb="14" eb="16">
      <t>ニュウリョク</t>
    </rPh>
    <rPh sb="16" eb="18">
      <t>ナイヨウ</t>
    </rPh>
    <rPh sb="19" eb="21">
      <t>セイゲン</t>
    </rPh>
    <rPh sb="25" eb="27">
      <t>ニュウリョク</t>
    </rPh>
    <rPh sb="27" eb="29">
      <t>カクニン</t>
    </rPh>
    <rPh sb="30" eb="31">
      <t>ウナガ</t>
    </rPh>
    <rPh sb="37" eb="38">
      <t>デ</t>
    </rPh>
    <rPh sb="49" eb="50">
      <t>サイ</t>
    </rPh>
    <rPh sb="52" eb="54">
      <t>サイド</t>
    </rPh>
    <rPh sb="54" eb="56">
      <t>ニュウリョク</t>
    </rPh>
    <rPh sb="56" eb="58">
      <t>ナイヨウ</t>
    </rPh>
    <rPh sb="59" eb="61">
      <t>カクニン</t>
    </rPh>
    <phoneticPr fontId="1"/>
  </si>
  <si>
    <t>　　　　※黄色シートは半角全角の切り替えなく入力できるよう設定しています。</t>
    <rPh sb="5" eb="7">
      <t>キイロ</t>
    </rPh>
    <rPh sb="11" eb="13">
      <t>ハンカク</t>
    </rPh>
    <rPh sb="13" eb="15">
      <t>ゼンカク</t>
    </rPh>
    <rPh sb="16" eb="17">
      <t>キ</t>
    </rPh>
    <rPh sb="18" eb="19">
      <t>カ</t>
    </rPh>
    <rPh sb="22" eb="24">
      <t>ニュウリョク</t>
    </rPh>
    <rPh sb="29" eb="31">
      <t>セッテイ</t>
    </rPh>
    <phoneticPr fontId="1"/>
  </si>
  <si>
    <r>
      <t>　　　　</t>
    </r>
    <r>
      <rPr>
        <sz val="11"/>
        <color rgb="FF00B050"/>
        <rFont val="ＭＳ Ｐゴシック"/>
        <family val="3"/>
        <charset val="128"/>
        <scheme val="minor"/>
      </rPr>
      <t>緑色の文字</t>
    </r>
    <r>
      <rPr>
        <sz val="11"/>
        <color theme="1"/>
        <rFont val="ＭＳ Ｐゴシック"/>
        <family val="3"/>
        <charset val="128"/>
        <scheme val="minor"/>
      </rPr>
      <t>は入力の不備が疑われる内容ですので，必ず該当箇所を黄色シートで確認し，必要に応じて訂正してください。</t>
    </r>
    <rPh sb="4" eb="6">
      <t>ミドリイロ</t>
    </rPh>
    <rPh sb="7" eb="9">
      <t>モジ</t>
    </rPh>
    <rPh sb="10" eb="12">
      <t>ニュウリョク</t>
    </rPh>
    <rPh sb="13" eb="15">
      <t>フビ</t>
    </rPh>
    <rPh sb="16" eb="17">
      <t>ウタガ</t>
    </rPh>
    <rPh sb="20" eb="22">
      <t>ナイヨウ</t>
    </rPh>
    <rPh sb="40" eb="42">
      <t>カクニン</t>
    </rPh>
    <rPh sb="44" eb="46">
      <t>ヒツヨウ</t>
    </rPh>
    <rPh sb="47" eb="48">
      <t>オウ</t>
    </rPh>
    <rPh sb="50" eb="52">
      <t>テイセイ</t>
    </rPh>
    <phoneticPr fontId="1"/>
  </si>
  <si>
    <r>
      <t>　　　　黄色シートは入力シートです。</t>
    </r>
    <r>
      <rPr>
        <b/>
        <u/>
        <sz val="11"/>
        <color theme="1"/>
        <rFont val="ＭＳ Ｐゴシック"/>
        <family val="3"/>
        <charset val="128"/>
        <scheme val="minor"/>
      </rPr>
      <t>黄色シート以外には入力する欄はありません。</t>
    </r>
    <rPh sb="4" eb="6">
      <t>キイロ</t>
    </rPh>
    <rPh sb="10" eb="12">
      <t>ニュウリョク</t>
    </rPh>
    <rPh sb="18" eb="20">
      <t>キイロ</t>
    </rPh>
    <rPh sb="23" eb="25">
      <t>イガイ</t>
    </rPh>
    <rPh sb="27" eb="29">
      <t>ニュウリョク</t>
    </rPh>
    <rPh sb="31" eb="32">
      <t>ラン</t>
    </rPh>
    <phoneticPr fontId="1"/>
  </si>
  <si>
    <r>
      <t>　　　　</t>
    </r>
    <r>
      <rPr>
        <u/>
        <sz val="11"/>
        <color rgb="FFFF0000"/>
        <rFont val="ＭＳ Ｐゴシック"/>
        <family val="3"/>
        <charset val="128"/>
        <scheme val="minor"/>
      </rPr>
      <t>赤色の文字</t>
    </r>
    <r>
      <rPr>
        <u/>
        <sz val="11"/>
        <color theme="1"/>
        <rFont val="ＭＳ Ｐゴシック"/>
        <family val="3"/>
        <charset val="128"/>
        <scheme val="minor"/>
      </rPr>
      <t>は明確な不備ですので，必ず黄色シートの該当箇所を訂正してください。</t>
    </r>
    <r>
      <rPr>
        <b/>
        <u/>
        <sz val="11"/>
        <color theme="1"/>
        <rFont val="ＭＳ Ｐゴシック"/>
        <family val="3"/>
        <charset val="128"/>
        <scheme val="minor"/>
      </rPr>
      <t>すべての赤色の文字が消えるまで，印刷はしないでください。</t>
    </r>
    <rPh sb="4" eb="6">
      <t>アカイロ</t>
    </rPh>
    <rPh sb="7" eb="9">
      <t>モジ</t>
    </rPh>
    <rPh sb="10" eb="12">
      <t>メイカク</t>
    </rPh>
    <rPh sb="13" eb="15">
      <t>フビ</t>
    </rPh>
    <rPh sb="20" eb="21">
      <t>カナラ</t>
    </rPh>
    <rPh sb="22" eb="24">
      <t>キイロ</t>
    </rPh>
    <rPh sb="28" eb="30">
      <t>ガイトウ</t>
    </rPh>
    <rPh sb="30" eb="32">
      <t>カショ</t>
    </rPh>
    <rPh sb="33" eb="35">
      <t>テイセイ</t>
    </rPh>
    <rPh sb="46" eb="48">
      <t>アカイロ</t>
    </rPh>
    <rPh sb="49" eb="51">
      <t>モジ</t>
    </rPh>
    <rPh sb="52" eb="53">
      <t>キ</t>
    </rPh>
    <rPh sb="58" eb="60">
      <t>インサツ</t>
    </rPh>
    <phoneticPr fontId="1"/>
  </si>
  <si>
    <r>
      <t>特記なし</t>
    </r>
    <r>
      <rPr>
        <sz val="11"/>
        <rFont val="ＭＳ Ｐゴシック"/>
        <family val="3"/>
        <charset val="128"/>
        <scheme val="minor"/>
      </rPr>
      <t>：基本調査項目が１以外（自立等以外）にもかかわらず，特記事項が未記入です。他の特記事項にまとめて記入している場合はエラー表示を無視してかまいません。</t>
    </r>
    <rPh sb="0" eb="2">
      <t>トッキ</t>
    </rPh>
    <rPh sb="5" eb="7">
      <t>キホン</t>
    </rPh>
    <rPh sb="7" eb="9">
      <t>チョウサ</t>
    </rPh>
    <rPh sb="9" eb="11">
      <t>コウモク</t>
    </rPh>
    <rPh sb="13" eb="15">
      <t>イガイ</t>
    </rPh>
    <rPh sb="16" eb="18">
      <t>ジリツ</t>
    </rPh>
    <rPh sb="18" eb="19">
      <t>トウ</t>
    </rPh>
    <rPh sb="19" eb="21">
      <t>イガイ</t>
    </rPh>
    <rPh sb="30" eb="32">
      <t>トッキ</t>
    </rPh>
    <rPh sb="32" eb="34">
      <t>ジコウ</t>
    </rPh>
    <rPh sb="35" eb="38">
      <t>ミキニュウ</t>
    </rPh>
    <rPh sb="41" eb="42">
      <t>タ</t>
    </rPh>
    <rPh sb="43" eb="45">
      <t>トッキ</t>
    </rPh>
    <rPh sb="45" eb="47">
      <t>ジコウ</t>
    </rPh>
    <rPh sb="52" eb="54">
      <t>キニュウ</t>
    </rPh>
    <rPh sb="58" eb="60">
      <t>バアイ</t>
    </rPh>
    <rPh sb="64" eb="66">
      <t>ヒョウジ</t>
    </rPh>
    <rPh sb="67" eb="69">
      <t>ムシ</t>
    </rPh>
    <phoneticPr fontId="1"/>
  </si>
  <si>
    <r>
      <t>警告あり</t>
    </r>
    <r>
      <rPr>
        <sz val="11"/>
        <rFont val="ＭＳ Ｐゴシック"/>
        <family val="3"/>
        <charset val="128"/>
        <scheme val="minor"/>
      </rPr>
      <t>：基本調査項目の選択が警告コードに該当します。</t>
    </r>
    <r>
      <rPr>
        <b/>
        <u/>
        <sz val="11"/>
        <rFont val="ＭＳ Ｐゴシック"/>
        <family val="3"/>
        <charset val="128"/>
        <scheme val="minor"/>
      </rPr>
      <t>選択誤りでない場合は，選択に矛盾がないことがわかるように特記事項を記入してください。</t>
    </r>
    <rPh sb="0" eb="2">
      <t>ケイコク</t>
    </rPh>
    <rPh sb="5" eb="7">
      <t>キホン</t>
    </rPh>
    <rPh sb="7" eb="9">
      <t>チョウサ</t>
    </rPh>
    <rPh sb="9" eb="11">
      <t>コウモク</t>
    </rPh>
    <rPh sb="12" eb="14">
      <t>センタク</t>
    </rPh>
    <rPh sb="15" eb="17">
      <t>ケイコク</t>
    </rPh>
    <rPh sb="21" eb="23">
      <t>ガイトウ</t>
    </rPh>
    <rPh sb="27" eb="29">
      <t>センタク</t>
    </rPh>
    <rPh sb="29" eb="30">
      <t>アヤマ</t>
    </rPh>
    <rPh sb="34" eb="36">
      <t>バアイ</t>
    </rPh>
    <rPh sb="38" eb="40">
      <t>センタク</t>
    </rPh>
    <rPh sb="41" eb="43">
      <t>ムジュン</t>
    </rPh>
    <rPh sb="55" eb="57">
      <t>トッキ</t>
    </rPh>
    <rPh sb="57" eb="59">
      <t>ジコウ</t>
    </rPh>
    <rPh sb="60" eb="62">
      <t>キニュウ</t>
    </rPh>
    <phoneticPr fontId="1"/>
  </si>
  <si>
    <t>６．　青色シートについて</t>
    <rPh sb="3" eb="5">
      <t>アオイロ</t>
    </rPh>
    <phoneticPr fontId="1"/>
  </si>
  <si>
    <r>
      <t>　　　　　「訪問調査票」と「特記事項」からなります。</t>
    </r>
    <r>
      <rPr>
        <b/>
        <u/>
        <sz val="11"/>
        <color theme="1"/>
        <rFont val="ＭＳ Ｐゴシック"/>
        <family val="3"/>
        <charset val="128"/>
        <scheme val="minor"/>
      </rPr>
      <t>印刷は必ず片面印刷で行ってください。</t>
    </r>
    <rPh sb="6" eb="8">
      <t>ホウモン</t>
    </rPh>
    <rPh sb="8" eb="11">
      <t>チョウサヒョウ</t>
    </rPh>
    <rPh sb="14" eb="16">
      <t>トッキ</t>
    </rPh>
    <rPh sb="16" eb="18">
      <t>ジコウ</t>
    </rPh>
    <rPh sb="26" eb="28">
      <t>インサツ</t>
    </rPh>
    <rPh sb="29" eb="30">
      <t>カナラ</t>
    </rPh>
    <rPh sb="31" eb="33">
      <t>カタメン</t>
    </rPh>
    <rPh sb="33" eb="35">
      <t>インサツ</t>
    </rPh>
    <rPh sb="36" eb="37">
      <t>オコナ</t>
    </rPh>
    <phoneticPr fontId="1"/>
  </si>
  <si>
    <t>　　　　　「訪問調査票」はＡ４片面印刷で３枚です。「特記事項」は記入した個数により変わりますが，Ａ４片面印刷で最大４枚です。</t>
    <rPh sb="6" eb="8">
      <t>ホウモン</t>
    </rPh>
    <rPh sb="8" eb="11">
      <t>チョウサヒョウ</t>
    </rPh>
    <rPh sb="15" eb="17">
      <t>カタメン</t>
    </rPh>
    <rPh sb="17" eb="19">
      <t>インサツ</t>
    </rPh>
    <rPh sb="21" eb="22">
      <t>マイ</t>
    </rPh>
    <rPh sb="32" eb="34">
      <t>キニュウ</t>
    </rPh>
    <rPh sb="36" eb="38">
      <t>コスウ</t>
    </rPh>
    <rPh sb="41" eb="42">
      <t>カ</t>
    </rPh>
    <rPh sb="55" eb="57">
      <t>サイダイ</t>
    </rPh>
    <rPh sb="58" eb="59">
      <t>マイ</t>
    </rPh>
    <phoneticPr fontId="1"/>
  </si>
  <si>
    <t>※同席者がいない場合は「なし」と入力してください。</t>
    <rPh sb="1" eb="4">
      <t>ドウセキシャ</t>
    </rPh>
    <rPh sb="8" eb="10">
      <t>バアイ</t>
    </rPh>
    <rPh sb="16" eb="18">
      <t>ニュウリョク</t>
    </rPh>
    <phoneticPr fontId="1"/>
  </si>
  <si>
    <t>自由入力欄</t>
    <rPh sb="0" eb="2">
      <t>ジユウ</t>
    </rPh>
    <rPh sb="2" eb="4">
      <t>ニュウリョク</t>
    </rPh>
    <rPh sb="4" eb="5">
      <t>ラン</t>
    </rPh>
    <phoneticPr fontId="1"/>
  </si>
  <si>
    <t>その他特記３</t>
    <rPh sb="2" eb="3">
      <t>ホカ</t>
    </rPh>
    <rPh sb="3" eb="5">
      <t>トッキ</t>
    </rPh>
    <phoneticPr fontId="1"/>
  </si>
  <si>
    <t>※非該当でサービス暫定利用の場合，非該当で過去に住宅改修を行った場合は「２：支援」を，</t>
    <rPh sb="1" eb="2">
      <t>ヒ</t>
    </rPh>
    <rPh sb="2" eb="4">
      <t>ガイトウ</t>
    </rPh>
    <rPh sb="9" eb="11">
      <t>ザンテイ</t>
    </rPh>
    <rPh sb="11" eb="13">
      <t>リヨウ</t>
    </rPh>
    <rPh sb="14" eb="16">
      <t>バアイ</t>
    </rPh>
    <rPh sb="17" eb="18">
      <t>ヒ</t>
    </rPh>
    <rPh sb="18" eb="20">
      <t>ガイトウ</t>
    </rPh>
    <rPh sb="21" eb="23">
      <t>カコ</t>
    </rPh>
    <rPh sb="24" eb="26">
      <t>ジュウタク</t>
    </rPh>
    <rPh sb="26" eb="28">
      <t>カイシュウ</t>
    </rPh>
    <rPh sb="29" eb="30">
      <t>オコナ</t>
    </rPh>
    <rPh sb="32" eb="34">
      <t>バアイ</t>
    </rPh>
    <rPh sb="38" eb="40">
      <t>シエン</t>
    </rPh>
    <phoneticPr fontId="1"/>
  </si>
  <si>
    <t>要支援で介護給付のみのサービスを暫定利用の場合は「１：介護」を入力してください。</t>
    <rPh sb="0" eb="1">
      <t>ヨウ</t>
    </rPh>
    <rPh sb="1" eb="3">
      <t>シエン</t>
    </rPh>
    <rPh sb="4" eb="6">
      <t>カイゴ</t>
    </rPh>
    <rPh sb="6" eb="8">
      <t>キュウフ</t>
    </rPh>
    <rPh sb="16" eb="18">
      <t>ザンテイ</t>
    </rPh>
    <rPh sb="18" eb="20">
      <t>リヨウ</t>
    </rPh>
    <rPh sb="21" eb="23">
      <t>バアイ</t>
    </rPh>
    <rPh sb="27" eb="29">
      <t>カイゴ</t>
    </rPh>
    <phoneticPr fontId="1"/>
  </si>
  <si>
    <t>その他特記</t>
    <phoneticPr fontId="1"/>
  </si>
  <si>
    <r>
      <rPr>
        <u/>
        <sz val="9"/>
        <color theme="1"/>
        <rFont val="ＭＳ Ｐゴシック"/>
        <family val="3"/>
        <charset val="128"/>
        <scheme val="minor"/>
      </rPr>
      <t>※自由入力欄の内容は，</t>
    </r>
    <r>
      <rPr>
        <sz val="9"/>
        <color theme="1"/>
        <rFont val="ＭＳ Ｐゴシック"/>
        <family val="3"/>
        <charset val="128"/>
        <scheme val="minor"/>
      </rPr>
      <t xml:space="preserve">
　　　</t>
    </r>
    <r>
      <rPr>
        <u/>
        <sz val="9"/>
        <color theme="1"/>
        <rFont val="ＭＳ Ｐゴシック"/>
        <family val="3"/>
        <charset val="128"/>
        <scheme val="minor"/>
      </rPr>
      <t>審査会資料には反映されません。</t>
    </r>
    <rPh sb="1" eb="3">
      <t>ジユウ</t>
    </rPh>
    <rPh sb="3" eb="5">
      <t>ニュウリョク</t>
    </rPh>
    <rPh sb="5" eb="6">
      <t>ラン</t>
    </rPh>
    <rPh sb="7" eb="9">
      <t>ナイヨウ</t>
    </rPh>
    <rPh sb="22" eb="24">
      <t>ハンエイ</t>
    </rPh>
    <phoneticPr fontId="1"/>
  </si>
  <si>
    <t>できない</t>
    <phoneticPr fontId="1"/>
  </si>
  <si>
    <t>ある</t>
    <phoneticPr fontId="1"/>
  </si>
  <si>
    <t>同席者名前</t>
    <rPh sb="0" eb="3">
      <t>ドウセキシャ</t>
    </rPh>
    <rPh sb="3" eb="5">
      <t>ナマエ</t>
    </rPh>
    <phoneticPr fontId="1"/>
  </si>
  <si>
    <t>　　　　本調査票には入力欄を一括で削除する機能がありません。複数人分の調査票を作成する場合は，原本のエクセルをコピーしてください。</t>
    <rPh sb="4" eb="5">
      <t>ホン</t>
    </rPh>
    <rPh sb="5" eb="8">
      <t>チョウサヒョウ</t>
    </rPh>
    <rPh sb="10" eb="12">
      <t>ニュウリョク</t>
    </rPh>
    <rPh sb="12" eb="13">
      <t>ラン</t>
    </rPh>
    <rPh sb="14" eb="16">
      <t>イッカツ</t>
    </rPh>
    <rPh sb="17" eb="19">
      <t>サクジョ</t>
    </rPh>
    <rPh sb="21" eb="23">
      <t>キノウ</t>
    </rPh>
    <rPh sb="30" eb="32">
      <t>フクスウ</t>
    </rPh>
    <rPh sb="32" eb="33">
      <t>ニン</t>
    </rPh>
    <rPh sb="33" eb="34">
      <t>ブン</t>
    </rPh>
    <rPh sb="35" eb="38">
      <t>チョウサヒョウ</t>
    </rPh>
    <rPh sb="39" eb="41">
      <t>サクセイ</t>
    </rPh>
    <rPh sb="43" eb="45">
      <t>バアイ</t>
    </rPh>
    <phoneticPr fontId="1"/>
  </si>
  <si>
    <r>
      <t>　　　　※</t>
    </r>
    <r>
      <rPr>
        <u/>
        <sz val="11"/>
        <color theme="1"/>
        <rFont val="ＭＳ Ｐゴシック"/>
        <family val="3"/>
        <charset val="128"/>
        <scheme val="minor"/>
      </rPr>
      <t>特記事項，概況特記，その他特記は，改行せずに入力してください。エクセル上で改行を行っても，印刷用紙には反映されません。</t>
    </r>
    <rPh sb="5" eb="7">
      <t>トッキ</t>
    </rPh>
    <rPh sb="7" eb="9">
      <t>ジコウ</t>
    </rPh>
    <rPh sb="10" eb="12">
      <t>ガイキョウ</t>
    </rPh>
    <rPh sb="12" eb="14">
      <t>トッキ</t>
    </rPh>
    <rPh sb="17" eb="18">
      <t>ホカ</t>
    </rPh>
    <rPh sb="18" eb="20">
      <t>トッキ</t>
    </rPh>
    <rPh sb="22" eb="24">
      <t>カイギョウ</t>
    </rPh>
    <rPh sb="27" eb="29">
      <t>ニュウリョク</t>
    </rPh>
    <rPh sb="40" eb="41">
      <t>ジョウ</t>
    </rPh>
    <rPh sb="42" eb="44">
      <t>カイギョウ</t>
    </rPh>
    <rPh sb="45" eb="46">
      <t>オコナ</t>
    </rPh>
    <rPh sb="50" eb="52">
      <t>インサツ</t>
    </rPh>
    <rPh sb="52" eb="54">
      <t>ヨウシ</t>
    </rPh>
    <rPh sb="56" eb="58">
      <t>ハンエイ</t>
    </rPh>
    <phoneticPr fontId="1"/>
  </si>
  <si>
    <t>　　　　　例：「２－１０上衣の着脱」と「２－１１ズボン等の着脱」をまとめて「２－１０上衣の着脱」の特記事項に書く場合，特記事項の最初に（２－１１）を入力してください。</t>
    <rPh sb="5" eb="6">
      <t>レイ</t>
    </rPh>
    <rPh sb="12" eb="13">
      <t>ジョウ</t>
    </rPh>
    <rPh sb="13" eb="14">
      <t>ギヌ</t>
    </rPh>
    <rPh sb="15" eb="17">
      <t>チャクダツ</t>
    </rPh>
    <rPh sb="27" eb="28">
      <t>トウ</t>
    </rPh>
    <rPh sb="29" eb="31">
      <t>チャクダツ</t>
    </rPh>
    <rPh sb="49" eb="51">
      <t>トッキ</t>
    </rPh>
    <rPh sb="51" eb="53">
      <t>ジコウ</t>
    </rPh>
    <rPh sb="54" eb="55">
      <t>カ</t>
    </rPh>
    <rPh sb="56" eb="58">
      <t>バアイ</t>
    </rPh>
    <rPh sb="59" eb="61">
      <t>トッキ</t>
    </rPh>
    <rPh sb="61" eb="63">
      <t>ジコウ</t>
    </rPh>
    <rPh sb="64" eb="66">
      <t>サイショ</t>
    </rPh>
    <rPh sb="74" eb="76">
      <t>ニュウリョク</t>
    </rPh>
    <phoneticPr fontId="1"/>
  </si>
  <si>
    <r>
      <t>訪問調査先</t>
    </r>
    <r>
      <rPr>
        <u/>
        <sz val="9"/>
        <rFont val="ＭＳ Ｐゴシック"/>
        <family val="3"/>
        <charset val="128"/>
        <scheme val="minor"/>
      </rPr>
      <t>（施設・病院名または住所）</t>
    </r>
    <rPh sb="0" eb="2">
      <t>ホウモン</t>
    </rPh>
    <rPh sb="2" eb="5">
      <t>チョウササキ</t>
    </rPh>
    <rPh sb="6" eb="8">
      <t>シセツ</t>
    </rPh>
    <rPh sb="9" eb="11">
      <t>ビョウイン</t>
    </rPh>
    <rPh sb="11" eb="12">
      <t>メイ</t>
    </rPh>
    <rPh sb="15" eb="17">
      <t>ジュウショ</t>
    </rPh>
    <phoneticPr fontId="1"/>
  </si>
  <si>
    <t>訪問調査先</t>
    <phoneticPr fontId="1"/>
  </si>
  <si>
    <t>　　　　※複数の調査項目の特記事項をまとめて書く場合(第６群を除く)，まとめる特記事項の最初に，まとめられる群数と項目数を「 （群数－項目数） 」の形で入力してください。</t>
    <rPh sb="5" eb="7">
      <t>フクスウ</t>
    </rPh>
    <rPh sb="8" eb="10">
      <t>チョウサ</t>
    </rPh>
    <rPh sb="10" eb="12">
      <t>コウモク</t>
    </rPh>
    <rPh sb="13" eb="15">
      <t>トッキ</t>
    </rPh>
    <rPh sb="15" eb="17">
      <t>ジコウ</t>
    </rPh>
    <rPh sb="22" eb="23">
      <t>カ</t>
    </rPh>
    <rPh sb="24" eb="26">
      <t>バアイ</t>
    </rPh>
    <rPh sb="27" eb="28">
      <t>ダイ</t>
    </rPh>
    <rPh sb="29" eb="30">
      <t>グン</t>
    </rPh>
    <rPh sb="31" eb="32">
      <t>ノゾ</t>
    </rPh>
    <rPh sb="54" eb="55">
      <t>グン</t>
    </rPh>
    <rPh sb="55" eb="56">
      <t>スウ</t>
    </rPh>
    <rPh sb="57" eb="60">
      <t>コウモクスウ</t>
    </rPh>
    <rPh sb="64" eb="65">
      <t>グン</t>
    </rPh>
    <rPh sb="65" eb="66">
      <t>スウ</t>
    </rPh>
    <rPh sb="67" eb="70">
      <t>コウモクスウ</t>
    </rPh>
    <rPh sb="74" eb="75">
      <t>カタチ</t>
    </rPh>
    <rPh sb="76" eb="78">
      <t>ニュウリョク</t>
    </rPh>
    <phoneticPr fontId="1"/>
  </si>
  <si>
    <t>７．　文章校正の方法について</t>
    <rPh sb="3" eb="5">
      <t>ブンショウ</t>
    </rPh>
    <rPh sb="5" eb="7">
      <t>コウセイ</t>
    </rPh>
    <rPh sb="8" eb="10">
      <t>ホウホウ</t>
    </rPh>
    <phoneticPr fontId="1"/>
  </si>
  <si>
    <t>　　　　　３つのＳＴＥＰがあります。各ＳＴＥＰの指示に従ってください。なお，文章校正の具体的な方法は，下記７を参照してください。</t>
    <rPh sb="18" eb="19">
      <t>カク</t>
    </rPh>
    <rPh sb="24" eb="26">
      <t>シジ</t>
    </rPh>
    <rPh sb="27" eb="28">
      <t>シタガ</t>
    </rPh>
    <rPh sb="38" eb="40">
      <t>ブンショウ</t>
    </rPh>
    <rPh sb="40" eb="42">
      <t>コウセイ</t>
    </rPh>
    <rPh sb="43" eb="46">
      <t>グタイテキ</t>
    </rPh>
    <rPh sb="47" eb="49">
      <t>ホウホウ</t>
    </rPh>
    <rPh sb="51" eb="53">
      <t>カキ</t>
    </rPh>
    <rPh sb="55" eb="57">
      <t>サンショウ</t>
    </rPh>
    <phoneticPr fontId="1"/>
  </si>
  <si>
    <t>７－２　認知症高齢者自立度</t>
    <rPh sb="4" eb="6">
      <t>ニンチ</t>
    </rPh>
    <rPh sb="6" eb="7">
      <t>ショウ</t>
    </rPh>
    <phoneticPr fontId="1"/>
  </si>
  <si>
    <t>被保険者番号：</t>
    <phoneticPr fontId="1"/>
  </si>
  <si>
    <t>名前：</t>
    <phoneticPr fontId="1"/>
  </si>
  <si>
    <t>令和</t>
    <rPh sb="0" eb="1">
      <t>レイ</t>
    </rPh>
    <rPh sb="1" eb="2">
      <t>ワ</t>
    </rPh>
    <phoneticPr fontId="1"/>
  </si>
  <si>
    <t>訪問調査員番号</t>
    <rPh sb="0" eb="2">
      <t>ホウモン</t>
    </rPh>
    <rPh sb="2" eb="5">
      <t>チョウサイン</t>
    </rPh>
    <rPh sb="5" eb="7">
      <t>バンゴウ</t>
    </rPh>
    <phoneticPr fontId="1"/>
  </si>
  <si>
    <t>年齢</t>
    <rPh sb="0" eb="2">
      <t>ネンレイ</t>
    </rPh>
    <phoneticPr fontId="1"/>
  </si>
  <si>
    <t>事業所番号</t>
    <rPh sb="0" eb="3">
      <t>ジギョウショ</t>
    </rPh>
    <rPh sb="3" eb="5">
      <t>バンゴウ</t>
    </rPh>
    <phoneticPr fontId="1"/>
  </si>
  <si>
    <t>調査員番号</t>
    <rPh sb="0" eb="3">
      <t>チョウサイン</t>
    </rPh>
    <rPh sb="3" eb="5">
      <t>バンゴウ</t>
    </rPh>
    <phoneticPr fontId="1"/>
  </si>
  <si>
    <t>被保険者番号：</t>
    <phoneticPr fontId="1"/>
  </si>
  <si>
    <t>▣特記記載のポイント</t>
    <phoneticPr fontId="1"/>
  </si>
  <si>
    <t>【（2-4）食事摂取は、介助の時間に個人差が出やすい調査項目】</t>
    <rPh sb="6" eb="8">
      <t>ショクジ</t>
    </rPh>
    <rPh sb="8" eb="10">
      <t>セッシュ</t>
    </rPh>
    <rPh sb="15" eb="17">
      <t>ジカン</t>
    </rPh>
    <phoneticPr fontId="1"/>
  </si>
  <si>
    <t>回/月</t>
    <rPh sb="0" eb="1">
      <t>カイ</t>
    </rPh>
    <rPh sb="2" eb="3">
      <t>ツキ</t>
    </rPh>
    <phoneticPr fontId="1"/>
  </si>
  <si>
    <t>日/月</t>
    <rPh sb="0" eb="1">
      <t>ニチ</t>
    </rPh>
    <rPh sb="2" eb="3">
      <t>ゲツ</t>
    </rPh>
    <phoneticPr fontId="1"/>
  </si>
  <si>
    <t>品目/6月</t>
    <rPh sb="0" eb="2">
      <t>ヒンモク</t>
    </rPh>
    <rPh sb="4" eb="5">
      <t>ガツ</t>
    </rPh>
    <phoneticPr fontId="1"/>
  </si>
  <si>
    <t>品目</t>
    <rPh sb="0" eb="2">
      <t>ヒンモク</t>
    </rPh>
    <phoneticPr fontId="1"/>
  </si>
  <si>
    <t>【(2-1)移乗、(2-2)移動は、介助の回数に個人差が出やすい調査項目】</t>
    <rPh sb="6" eb="8">
      <t>イジョウ</t>
    </rPh>
    <rPh sb="14" eb="16">
      <t>イドウ</t>
    </rPh>
    <phoneticPr fontId="1"/>
  </si>
  <si>
    <t>【(2-5)排尿、(2-6)排便は、介助の回数に個人差が出やすい調査項目】</t>
    <rPh sb="6" eb="8">
      <t>ハイニョウ</t>
    </rPh>
    <rPh sb="14" eb="16">
      <t>ハイベン</t>
    </rPh>
    <phoneticPr fontId="1"/>
  </si>
  <si>
    <r>
      <t>　　　　特記事項は，第１群から第７群まで、原則、各１つしか入力することはできません。なお，</t>
    </r>
    <r>
      <rPr>
        <b/>
        <u/>
        <sz val="11"/>
        <rFont val="ＭＳ Ｐゴシック"/>
        <family val="3"/>
        <charset val="128"/>
        <scheme val="minor"/>
      </rPr>
      <t>入力できる文字数は最大で120文字です。</t>
    </r>
    <rPh sb="4" eb="6">
      <t>トッキ</t>
    </rPh>
    <rPh sb="6" eb="8">
      <t>ジコウ</t>
    </rPh>
    <rPh sb="10" eb="11">
      <t>ダイ</t>
    </rPh>
    <rPh sb="12" eb="13">
      <t>グン</t>
    </rPh>
    <rPh sb="15" eb="16">
      <t>ダイ</t>
    </rPh>
    <rPh sb="17" eb="18">
      <t>グン</t>
    </rPh>
    <rPh sb="21" eb="23">
      <t>ゲンソク</t>
    </rPh>
    <rPh sb="24" eb="25">
      <t>カク</t>
    </rPh>
    <rPh sb="29" eb="31">
      <t>ニュウリョク</t>
    </rPh>
    <rPh sb="45" eb="47">
      <t>ニュウリョク</t>
    </rPh>
    <rPh sb="50" eb="53">
      <t>モジスウ</t>
    </rPh>
    <rPh sb="54" eb="56">
      <t>サイダイ</t>
    </rPh>
    <rPh sb="60" eb="62">
      <t>モジ</t>
    </rPh>
    <phoneticPr fontId="1"/>
  </si>
  <si>
    <r>
      <t>　　　　概況特記は、</t>
    </r>
    <r>
      <rPr>
        <u/>
        <sz val="11"/>
        <rFont val="ＭＳ Ｐゴシック"/>
        <family val="3"/>
        <charset val="128"/>
        <scheme val="minor"/>
      </rPr>
      <t>１つは最大240文字、もう１つは最大で120文字まで入力できます。概況特記は必ず１つは入力してください。</t>
    </r>
    <rPh sb="4" eb="6">
      <t>ガイキョウ</t>
    </rPh>
    <rPh sb="6" eb="8">
      <t>トッキ</t>
    </rPh>
    <rPh sb="13" eb="15">
      <t>サイダイ</t>
    </rPh>
    <rPh sb="18" eb="20">
      <t>モジ</t>
    </rPh>
    <rPh sb="26" eb="28">
      <t>サイダイ</t>
    </rPh>
    <rPh sb="32" eb="34">
      <t>モジ</t>
    </rPh>
    <rPh sb="36" eb="38">
      <t>ニュウリョク</t>
    </rPh>
    <rPh sb="43" eb="45">
      <t>ガイキョウ</t>
    </rPh>
    <rPh sb="45" eb="47">
      <t>トッキ</t>
    </rPh>
    <rPh sb="48" eb="49">
      <t>カナラ</t>
    </rPh>
    <rPh sb="53" eb="55">
      <t>ニュウリョク</t>
    </rPh>
    <phoneticPr fontId="1"/>
  </si>
  <si>
    <t>　　　　特記事項は、原則各１つしか入力することはできませんが、最大で120文字に収まりきらない場合は、補助枠として、その他特記へ記載することができます。</t>
    <rPh sb="4" eb="6">
      <t>トッキ</t>
    </rPh>
    <rPh sb="6" eb="8">
      <t>ジコウ</t>
    </rPh>
    <rPh sb="10" eb="12">
      <t>ゲンソク</t>
    </rPh>
    <rPh sb="12" eb="13">
      <t>カク</t>
    </rPh>
    <rPh sb="17" eb="19">
      <t>ニュウリョク</t>
    </rPh>
    <rPh sb="31" eb="33">
      <t>サイダイ</t>
    </rPh>
    <rPh sb="37" eb="39">
      <t>モジ</t>
    </rPh>
    <rPh sb="40" eb="41">
      <t>オサ</t>
    </rPh>
    <rPh sb="47" eb="49">
      <t>バアイ</t>
    </rPh>
    <rPh sb="51" eb="53">
      <t>ホジョ</t>
    </rPh>
    <rPh sb="53" eb="54">
      <t>ワク</t>
    </rPh>
    <rPh sb="60" eb="61">
      <t>タ</t>
    </rPh>
    <rPh sb="61" eb="63">
      <t>トッキ</t>
    </rPh>
    <rPh sb="64" eb="66">
      <t>キサイ</t>
    </rPh>
    <phoneticPr fontId="1"/>
  </si>
  <si>
    <r>
      <t>夜間訪問　</t>
    </r>
    <r>
      <rPr>
        <u/>
        <sz val="11"/>
        <color theme="1"/>
        <rFont val="ＭＳ Ｐゴシック"/>
        <family val="3"/>
        <charset val="128"/>
        <scheme val="minor"/>
      </rPr>
      <t>※介護給付のみ</t>
    </r>
    <rPh sb="0" eb="2">
      <t>ヤカン</t>
    </rPh>
    <rPh sb="2" eb="4">
      <t>ホウモン</t>
    </rPh>
    <phoneticPr fontId="1"/>
  </si>
  <si>
    <r>
      <t>地域福祉　</t>
    </r>
    <r>
      <rPr>
        <u/>
        <sz val="11"/>
        <color theme="1"/>
        <rFont val="ＭＳ Ｐゴシック"/>
        <family val="3"/>
        <charset val="128"/>
        <scheme val="minor"/>
      </rPr>
      <t>※介護給付のみ</t>
    </r>
    <rPh sb="0" eb="2">
      <t>チイキ</t>
    </rPh>
    <rPh sb="2" eb="4">
      <t>フクシ</t>
    </rPh>
    <phoneticPr fontId="1"/>
  </si>
  <si>
    <r>
      <t>定期巡回　</t>
    </r>
    <r>
      <rPr>
        <u/>
        <sz val="11"/>
        <color theme="1"/>
        <rFont val="ＭＳ Ｐゴシック"/>
        <family val="3"/>
        <charset val="128"/>
        <scheme val="minor"/>
      </rPr>
      <t>※介護給付のみ</t>
    </r>
    <rPh sb="0" eb="2">
      <t>テイキ</t>
    </rPh>
    <rPh sb="2" eb="4">
      <t>ジュンカイ</t>
    </rPh>
    <phoneticPr fontId="1"/>
  </si>
  <si>
    <r>
      <t>地域特定　</t>
    </r>
    <r>
      <rPr>
        <u/>
        <sz val="11"/>
        <color theme="1"/>
        <rFont val="ＭＳ Ｐゴシック"/>
        <family val="3"/>
        <charset val="128"/>
        <scheme val="minor"/>
      </rPr>
      <t>※介護給付のみ</t>
    </r>
    <rPh sb="0" eb="2">
      <t>チイキ</t>
    </rPh>
    <rPh sb="2" eb="4">
      <t>トクテイ</t>
    </rPh>
    <phoneticPr fontId="1"/>
  </si>
  <si>
    <r>
      <t>看護小規模　</t>
    </r>
    <r>
      <rPr>
        <u/>
        <sz val="11"/>
        <color theme="1"/>
        <rFont val="ＭＳ Ｐゴシック"/>
        <family val="3"/>
        <charset val="128"/>
        <scheme val="minor"/>
      </rPr>
      <t>※介護給付のみ</t>
    </r>
    <rPh sb="0" eb="2">
      <t>カンゴ</t>
    </rPh>
    <rPh sb="2" eb="5">
      <t>ショウキボ</t>
    </rPh>
    <phoneticPr fontId="1"/>
  </si>
  <si>
    <r>
      <t>住宅改修　</t>
    </r>
    <r>
      <rPr>
        <u/>
        <sz val="11"/>
        <rFont val="ＭＳ Ｐゴシック"/>
        <family val="3"/>
        <charset val="128"/>
        <scheme val="minor"/>
      </rPr>
      <t>（空白：無　1：有）</t>
    </r>
    <rPh sb="0" eb="2">
      <t>ジュウタク</t>
    </rPh>
    <rPh sb="2" eb="4">
      <t>カイシュウ</t>
    </rPh>
    <rPh sb="6" eb="8">
      <t>クウハク</t>
    </rPh>
    <rPh sb="9" eb="10">
      <t>ナ</t>
    </rPh>
    <rPh sb="13" eb="14">
      <t>ア</t>
    </rPh>
    <phoneticPr fontId="1"/>
  </si>
  <si>
    <r>
      <t>市町村特別給付</t>
    </r>
    <r>
      <rPr>
        <u/>
        <sz val="11"/>
        <color theme="1"/>
        <rFont val="ＭＳ Ｐゴシック"/>
        <family val="3"/>
        <charset val="128"/>
        <scheme val="minor"/>
      </rPr>
      <t>（最長３２文字）</t>
    </r>
    <rPh sb="0" eb="3">
      <t>シチョウソン</t>
    </rPh>
    <rPh sb="3" eb="5">
      <t>トクベツ</t>
    </rPh>
    <rPh sb="5" eb="7">
      <t>キュウフ</t>
    </rPh>
    <rPh sb="8" eb="10">
      <t>サイチョウ</t>
    </rPh>
    <rPh sb="12" eb="14">
      <t>モジ</t>
    </rPh>
    <phoneticPr fontId="1"/>
  </si>
  <si>
    <r>
      <t>他在宅サービス</t>
    </r>
    <r>
      <rPr>
        <u/>
        <sz val="11"/>
        <color theme="1"/>
        <rFont val="ＭＳ Ｐゴシック"/>
        <family val="3"/>
        <charset val="128"/>
        <scheme val="minor"/>
      </rPr>
      <t>（最長２４文字）</t>
    </r>
    <rPh sb="0" eb="1">
      <t>ホカ</t>
    </rPh>
    <rPh sb="1" eb="3">
      <t>ザイタク</t>
    </rPh>
    <phoneticPr fontId="1"/>
  </si>
  <si>
    <r>
      <t>名前</t>
    </r>
    <r>
      <rPr>
        <u/>
        <sz val="11"/>
        <color theme="1"/>
        <rFont val="ＭＳ Ｐゴシック"/>
        <family val="3"/>
        <charset val="128"/>
        <scheme val="minor"/>
      </rPr>
      <t>（姓と名の間にスペース）</t>
    </r>
    <rPh sb="0" eb="2">
      <t>ナマエ</t>
    </rPh>
    <rPh sb="3" eb="4">
      <t>セイ</t>
    </rPh>
    <rPh sb="5" eb="6">
      <t>メイ</t>
    </rPh>
    <rPh sb="7" eb="8">
      <t>アイダ</t>
    </rPh>
    <phoneticPr fontId="1"/>
  </si>
  <si>
    <r>
      <t>性別　</t>
    </r>
    <r>
      <rPr>
        <u/>
        <sz val="11"/>
        <rFont val="ＭＳ Ｐゴシック"/>
        <family val="3"/>
        <charset val="128"/>
        <scheme val="minor"/>
      </rPr>
      <t>（1：男　2：女）</t>
    </r>
    <rPh sb="0" eb="2">
      <t>セイベツ</t>
    </rPh>
    <rPh sb="6" eb="7">
      <t>オトコ</t>
    </rPh>
    <rPh sb="10" eb="11">
      <t>オンナ</t>
    </rPh>
    <phoneticPr fontId="1"/>
  </si>
  <si>
    <r>
      <t>実施日　</t>
    </r>
    <r>
      <rPr>
        <u/>
        <sz val="11"/>
        <rFont val="ＭＳ Ｐゴシック"/>
        <family val="3"/>
        <charset val="128"/>
        <scheme val="minor"/>
      </rPr>
      <t>（5：令和）</t>
    </r>
    <rPh sb="0" eb="2">
      <t>ジッシ</t>
    </rPh>
    <rPh sb="2" eb="3">
      <t>ビ</t>
    </rPh>
    <rPh sb="7" eb="8">
      <t>レイ</t>
    </rPh>
    <rPh sb="8" eb="9">
      <t>ワ</t>
    </rPh>
    <phoneticPr fontId="1"/>
  </si>
  <si>
    <t>日/月</t>
    <rPh sb="0" eb="1">
      <t>ヒ</t>
    </rPh>
    <rPh sb="2" eb="3">
      <t>ツキ</t>
    </rPh>
    <phoneticPr fontId="1"/>
  </si>
  <si>
    <t>　　　　その場合、該当する特記事項の続きであることが分かるように記載してください。</t>
    <rPh sb="6" eb="8">
      <t>バアイ</t>
    </rPh>
    <rPh sb="9" eb="11">
      <t>ガイトウ</t>
    </rPh>
    <rPh sb="13" eb="15">
      <t>トッキ</t>
    </rPh>
    <rPh sb="15" eb="17">
      <t>ジコウ</t>
    </rPh>
    <rPh sb="18" eb="19">
      <t>ツヅ</t>
    </rPh>
    <rPh sb="26" eb="27">
      <t>ワ</t>
    </rPh>
    <rPh sb="32" eb="34">
      <t>キサイ</t>
    </rPh>
    <phoneticPr fontId="1"/>
  </si>
  <si>
    <r>
      <t>　　　　</t>
    </r>
    <r>
      <rPr>
        <b/>
        <u/>
        <sz val="11"/>
        <rFont val="ＭＳ Ｐゴシック"/>
        <family val="3"/>
        <charset val="128"/>
        <scheme val="minor"/>
      </rPr>
      <t>特記事項，概況特記，その他特記をあわせて最大71個まで入力可能です。</t>
    </r>
    <rPh sb="4" eb="6">
      <t>トッキ</t>
    </rPh>
    <rPh sb="6" eb="8">
      <t>ジコウ</t>
    </rPh>
    <rPh sb="9" eb="11">
      <t>ガイキョウ</t>
    </rPh>
    <rPh sb="11" eb="13">
      <t>トッキ</t>
    </rPh>
    <rPh sb="16" eb="17">
      <t>タ</t>
    </rPh>
    <rPh sb="17" eb="19">
      <t>トッキ</t>
    </rPh>
    <rPh sb="24" eb="26">
      <t>サイダイ</t>
    </rPh>
    <phoneticPr fontId="1"/>
  </si>
  <si>
    <t>現在状況</t>
    <rPh sb="0" eb="2">
      <t>ゲンザイ</t>
    </rPh>
    <rPh sb="2" eb="4">
      <t>ジョウキョウ</t>
    </rPh>
    <phoneticPr fontId="1"/>
  </si>
  <si>
    <t>01</t>
    <phoneticPr fontId="1"/>
  </si>
  <si>
    <t>02</t>
  </si>
  <si>
    <t>03</t>
  </si>
  <si>
    <t>05</t>
  </si>
  <si>
    <t>06</t>
  </si>
  <si>
    <t>07</t>
  </si>
  <si>
    <t>08</t>
  </si>
  <si>
    <t>09</t>
  </si>
  <si>
    <t>10</t>
  </si>
  <si>
    <t>11</t>
  </si>
  <si>
    <t>12</t>
  </si>
  <si>
    <t>13</t>
  </si>
  <si>
    <t>14</t>
  </si>
  <si>
    <t>01：居宅</t>
    <rPh sb="3" eb="5">
      <t>キョタク</t>
    </rPh>
    <phoneticPr fontId="1"/>
  </si>
  <si>
    <t>02：老人福祉施設</t>
    <rPh sb="3" eb="5">
      <t>ロウジン</t>
    </rPh>
    <rPh sb="5" eb="7">
      <t>フクシ</t>
    </rPh>
    <rPh sb="7" eb="9">
      <t>シセツ</t>
    </rPh>
    <phoneticPr fontId="1"/>
  </si>
  <si>
    <t>03：老人保健施設</t>
    <rPh sb="3" eb="5">
      <t>ロウジン</t>
    </rPh>
    <rPh sb="5" eb="7">
      <t>ホケン</t>
    </rPh>
    <rPh sb="7" eb="9">
      <t>シセツ</t>
    </rPh>
    <phoneticPr fontId="1"/>
  </si>
  <si>
    <t>07：医療機関（療養）</t>
    <rPh sb="3" eb="5">
      <t>イリョウ</t>
    </rPh>
    <rPh sb="5" eb="7">
      <t>キカン</t>
    </rPh>
    <rPh sb="8" eb="10">
      <t>リョウヨウ</t>
    </rPh>
    <phoneticPr fontId="1"/>
  </si>
  <si>
    <t>10：介護医療院</t>
    <rPh sb="3" eb="5">
      <t>カイゴ</t>
    </rPh>
    <rPh sb="5" eb="7">
      <t>イリョウ</t>
    </rPh>
    <rPh sb="7" eb="8">
      <t>イン</t>
    </rPh>
    <phoneticPr fontId="1"/>
  </si>
  <si>
    <t>11：養護老人ホーム</t>
    <rPh sb="3" eb="5">
      <t>ヨウゴ</t>
    </rPh>
    <rPh sb="5" eb="7">
      <t>ロウジン</t>
    </rPh>
    <phoneticPr fontId="1"/>
  </si>
  <si>
    <t>12：軽費老人ホーム</t>
    <rPh sb="3" eb="5">
      <t>ケイヒ</t>
    </rPh>
    <rPh sb="5" eb="7">
      <t>ロウジン</t>
    </rPh>
    <phoneticPr fontId="1"/>
  </si>
  <si>
    <t>13：有料老人ホーム</t>
    <rPh sb="3" eb="5">
      <t>ユウリョウ</t>
    </rPh>
    <rPh sb="5" eb="7">
      <t>ロウジン</t>
    </rPh>
    <phoneticPr fontId="1"/>
  </si>
  <si>
    <t>14：サービス付住宅</t>
    <rPh sb="7" eb="8">
      <t>ツ</t>
    </rPh>
    <rPh sb="8" eb="10">
      <t>ジュウタク</t>
    </rPh>
    <phoneticPr fontId="1"/>
  </si>
  <si>
    <t>現在状況</t>
    <rPh sb="0" eb="2">
      <t>ゲンザイ</t>
    </rPh>
    <rPh sb="2" eb="4">
      <t>ジョウキョウ</t>
    </rPh>
    <phoneticPr fontId="1"/>
  </si>
  <si>
    <t>05：グループホーム</t>
    <phoneticPr fontId="1"/>
  </si>
  <si>
    <t>家族状況</t>
    <rPh sb="0" eb="2">
      <t>カゾク</t>
    </rPh>
    <rPh sb="2" eb="4">
      <t>ジョウキョウ</t>
    </rPh>
    <phoneticPr fontId="1"/>
  </si>
  <si>
    <t>家族状況</t>
    <rPh sb="0" eb="2">
      <t>カゾク</t>
    </rPh>
    <rPh sb="2" eb="4">
      <t>ジョウキョウ</t>
    </rPh>
    <phoneticPr fontId="1"/>
  </si>
  <si>
    <t>0：独居</t>
    <rPh sb="2" eb="4">
      <t>ドッキョ</t>
    </rPh>
    <phoneticPr fontId="1"/>
  </si>
  <si>
    <t>1：同居（夫婦のみ）</t>
    <rPh sb="2" eb="4">
      <t>ドウキョ</t>
    </rPh>
    <rPh sb="5" eb="7">
      <t>フウフ</t>
    </rPh>
    <phoneticPr fontId="1"/>
  </si>
  <si>
    <t>2：同居（その他）</t>
    <rPh sb="7" eb="8">
      <t>タ</t>
    </rPh>
    <phoneticPr fontId="1"/>
  </si>
  <si>
    <t>0</t>
    <phoneticPr fontId="1"/>
  </si>
  <si>
    <t>1</t>
    <phoneticPr fontId="1"/>
  </si>
  <si>
    <t>2</t>
    <phoneticPr fontId="1"/>
  </si>
  <si>
    <t>06：特定施設入居者生活介護適用施設</t>
    <rPh sb="3" eb="5">
      <t>トクテイ</t>
    </rPh>
    <rPh sb="5" eb="7">
      <t>シセツ</t>
    </rPh>
    <rPh sb="7" eb="10">
      <t>ニュウキョシャ</t>
    </rPh>
    <rPh sb="10" eb="12">
      <t>セイカツ</t>
    </rPh>
    <rPh sb="12" eb="14">
      <t>カイゴ</t>
    </rPh>
    <rPh sb="14" eb="16">
      <t>テキヨウ</t>
    </rPh>
    <rPh sb="16" eb="18">
      <t>シセツ</t>
    </rPh>
    <phoneticPr fontId="1"/>
  </si>
  <si>
    <t>08：医療機関（療養病床以外）</t>
    <rPh sb="3" eb="5">
      <t>イリョウ</t>
    </rPh>
    <rPh sb="5" eb="7">
      <t>キカン</t>
    </rPh>
    <rPh sb="8" eb="10">
      <t>リョウヨウ</t>
    </rPh>
    <rPh sb="10" eb="12">
      <t>ビョウショウ</t>
    </rPh>
    <rPh sb="12" eb="14">
      <t>イガイ</t>
    </rPh>
    <phoneticPr fontId="1"/>
  </si>
  <si>
    <t>09：その他施設等</t>
    <rPh sb="5" eb="6">
      <t>タ</t>
    </rPh>
    <rPh sb="6" eb="8">
      <t>シセツ</t>
    </rPh>
    <rPh sb="8" eb="9">
      <t>トウ</t>
    </rPh>
    <phoneticPr fontId="1"/>
  </si>
  <si>
    <t>家族等日程調整者名前</t>
    <rPh sb="3" eb="5">
      <t>ニッテイ</t>
    </rPh>
    <rPh sb="5" eb="7">
      <t>チョウセイ</t>
    </rPh>
    <rPh sb="7" eb="8">
      <t>シャ</t>
    </rPh>
    <rPh sb="8" eb="10">
      <t>ナマエ</t>
    </rPh>
    <phoneticPr fontId="1"/>
  </si>
  <si>
    <t>家族等日程調整者の関係</t>
    <rPh sb="3" eb="5">
      <t>ニッテイ</t>
    </rPh>
    <rPh sb="5" eb="7">
      <t>チョウセイ</t>
    </rPh>
    <rPh sb="7" eb="8">
      <t>シャ</t>
    </rPh>
    <rPh sb="9" eb="11">
      <t>カンケイ</t>
    </rPh>
    <phoneticPr fontId="1"/>
  </si>
  <si>
    <t>家族等日程調整者の℡</t>
    <rPh sb="3" eb="5">
      <t>ニッテイ</t>
    </rPh>
    <rPh sb="5" eb="7">
      <t>チョウセイ</t>
    </rPh>
    <rPh sb="7" eb="8">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</si>
</sst>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0&quot;個&quot;&quot;該&quot;&quot;当&quot;"/>
    <numFmt numFmtId="177" formatCode="0000000000"/>
    <numFmt numFmtId="178" formatCode="00"/>
    <numFmt numFmtId="179" formatCode="000"/>
    <numFmt numFmtId="180" formatCode="00000000"/>
  </numFmts>
  <fonts count="5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6"/>
      <name val="ＭＳ ゴシック"/>
      <family val="3"/>
      <charset val="128"/>
    </font>
    <font>
      <sz val="11"/>
      <name val="ＭＳ Ｐゴシック"/>
      <family val="3"/>
      <charset val="128"/>
    </font>
    <font>
      <b/>
      <sz val="18"/>
      <name val="ＭＳ ゴシック"/>
      <family val="3"/>
      <charset val="128"/>
    </font>
    <font>
      <sz val="6"/>
      <name val="ＭＳ Ｐゴシック"/>
      <family val="3"/>
      <charset val="128"/>
    </font>
    <font>
      <sz val="8"/>
      <name val="ＭＳ ゴシック"/>
      <family val="3"/>
      <charset val="128"/>
    </font>
    <font>
      <sz val="9"/>
      <name val="ＭＳ ゴシック"/>
      <family val="3"/>
      <charset val="128"/>
    </font>
    <font>
      <sz val="9"/>
      <name val="ＭＳ Ｐゴシック"/>
      <family val="3"/>
      <charset val="128"/>
    </font>
    <font>
      <sz val="14"/>
      <color theme="1"/>
      <name val="ＭＳ Ｐゴシック"/>
      <family val="2"/>
      <charset val="128"/>
      <scheme val="minor"/>
    </font>
    <font>
      <sz val="18"/>
      <color theme="1"/>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0"/>
      <name val="ＭＳ Ｐゴシック"/>
      <family val="2"/>
      <charset val="128"/>
      <scheme val="minor"/>
    </font>
    <font>
      <sz val="10"/>
      <name val="ＭＳ Ｐゴシック"/>
      <family val="2"/>
      <charset val="128"/>
      <scheme val="minor"/>
    </font>
    <font>
      <sz val="11"/>
      <color rgb="FF00B050"/>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sz val="16"/>
      <color rgb="FF00B050"/>
      <name val="ＭＳ Ｐゴシック"/>
      <family val="2"/>
      <charset val="128"/>
      <scheme val="minor"/>
    </font>
    <font>
      <sz val="9"/>
      <name val="ＭＳ Ｐゴシック"/>
      <family val="3"/>
      <charset val="128"/>
      <scheme val="minor"/>
    </font>
    <font>
      <sz val="9"/>
      <color rgb="FFFF0000"/>
      <name val="ＭＳ Ｐゴシック"/>
      <family val="3"/>
      <charset val="128"/>
      <scheme val="minor"/>
    </font>
    <font>
      <u/>
      <sz val="9"/>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10"/>
      <color rgb="FFFF0000"/>
      <name val="ＭＳ Ｐゴシック"/>
      <family val="3"/>
      <charset val="128"/>
      <scheme val="minor"/>
    </font>
    <font>
      <sz val="10"/>
      <color rgb="FF00B050"/>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u/>
      <sz val="11"/>
      <name val="ＭＳ Ｐゴシック"/>
      <family val="3"/>
      <charset val="128"/>
      <scheme val="minor"/>
    </font>
    <font>
      <u/>
      <sz val="11"/>
      <color theme="1"/>
      <name val="ＭＳ Ｐゴシック"/>
      <family val="3"/>
      <charset val="128"/>
      <scheme val="minor"/>
    </font>
    <font>
      <sz val="16"/>
      <color theme="1"/>
      <name val="ＭＳ Ｐゴシック"/>
      <family val="3"/>
      <charset val="128"/>
      <scheme val="minor"/>
    </font>
    <font>
      <sz val="11"/>
      <color rgb="FF00B050"/>
      <name val="ＭＳ Ｐゴシック"/>
      <family val="3"/>
      <charset val="128"/>
      <scheme val="minor"/>
    </font>
    <font>
      <u/>
      <sz val="11"/>
      <color rgb="FFFF0000"/>
      <name val="ＭＳ Ｐゴシック"/>
      <family val="3"/>
      <charset val="128"/>
      <scheme val="minor"/>
    </font>
    <font>
      <sz val="10"/>
      <color theme="0"/>
      <name val="ＭＳ Ｐゴシック"/>
      <family val="3"/>
      <charset val="128"/>
      <scheme val="minor"/>
    </font>
    <font>
      <sz val="10"/>
      <color rgb="FFFF0000"/>
      <name val="ＭＳ Ｐゴシック"/>
      <family val="2"/>
      <charset val="128"/>
      <scheme val="minor"/>
    </font>
    <font>
      <b/>
      <u/>
      <sz val="11"/>
      <name val="ＭＳ Ｐゴシック"/>
      <family val="3"/>
      <charset val="128"/>
      <scheme val="minor"/>
    </font>
    <font>
      <b/>
      <u/>
      <sz val="11"/>
      <color theme="1"/>
      <name val="ＭＳ Ｐゴシック"/>
      <family val="3"/>
      <charset val="128"/>
      <scheme val="minor"/>
    </font>
    <font>
      <b/>
      <sz val="9"/>
      <color theme="1"/>
      <name val="ＭＳ Ｐゴシック"/>
      <family val="3"/>
      <charset val="128"/>
      <scheme val="minor"/>
    </font>
    <font>
      <b/>
      <sz val="13"/>
      <color theme="1"/>
      <name val="ＭＳ Ｐゴシック"/>
      <family val="3"/>
      <charset val="128"/>
      <scheme val="minor"/>
    </font>
    <font>
      <sz val="9"/>
      <color rgb="FF000000"/>
      <name val="MS UI Gothic"/>
      <family val="3"/>
      <charset val="128"/>
    </font>
    <font>
      <sz val="14"/>
      <color theme="1"/>
      <name val="Meiryo UI"/>
      <family val="3"/>
      <charset val="128"/>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sz val="9"/>
      <color rgb="FFFF0000"/>
      <name val="ＭＳ Ｐゴシック"/>
      <family val="2"/>
      <charset val="128"/>
      <scheme val="minor"/>
    </font>
    <font>
      <sz val="8"/>
      <name val="ＭＳ Ｐゴシック"/>
      <family val="2"/>
      <charset val="128"/>
      <scheme val="minor"/>
    </font>
    <font>
      <sz val="10"/>
      <name val="ＭＳ 明朝"/>
      <family val="1"/>
      <charset val="128"/>
    </font>
    <font>
      <sz val="8"/>
      <name val="ＭＳ 明朝"/>
      <family val="1"/>
      <charset val="128"/>
    </font>
    <font>
      <sz val="9"/>
      <name val="ＭＳ 明朝"/>
      <family val="1"/>
      <charset val="128"/>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rgb="FF0070C0"/>
      </left>
      <right style="thin">
        <color indexed="64"/>
      </right>
      <top style="medium">
        <color rgb="FF0070C0"/>
      </top>
      <bottom style="medium">
        <color indexed="64"/>
      </bottom>
      <diagonal/>
    </border>
    <border>
      <left style="thin">
        <color indexed="64"/>
      </left>
      <right style="thin">
        <color indexed="64"/>
      </right>
      <top style="medium">
        <color rgb="FF0070C0"/>
      </top>
      <bottom style="medium">
        <color indexed="64"/>
      </bottom>
      <diagonal/>
    </border>
    <border>
      <left style="thin">
        <color indexed="64"/>
      </left>
      <right style="medium">
        <color rgb="FF0070C0"/>
      </right>
      <top style="medium">
        <color rgb="FF0070C0"/>
      </top>
      <bottom style="medium">
        <color indexed="64"/>
      </bottom>
      <diagonal/>
    </border>
    <border>
      <left style="medium">
        <color rgb="FF0070C0"/>
      </left>
      <right style="thin">
        <color indexed="64"/>
      </right>
      <top style="medium">
        <color indexed="64"/>
      </top>
      <bottom style="medium">
        <color indexed="64"/>
      </bottom>
      <diagonal/>
    </border>
    <border>
      <left style="thin">
        <color indexed="64"/>
      </left>
      <right style="medium">
        <color rgb="FF0070C0"/>
      </right>
      <top style="medium">
        <color indexed="64"/>
      </top>
      <bottom style="medium">
        <color indexed="64"/>
      </bottom>
      <diagonal/>
    </border>
    <border>
      <left style="medium">
        <color rgb="FF0070C0"/>
      </left>
      <right style="thin">
        <color indexed="64"/>
      </right>
      <top style="medium">
        <color indexed="64"/>
      </top>
      <bottom style="medium">
        <color rgb="FF0070C0"/>
      </bottom>
      <diagonal/>
    </border>
    <border>
      <left style="thin">
        <color indexed="64"/>
      </left>
      <right style="thin">
        <color indexed="64"/>
      </right>
      <top style="medium">
        <color indexed="64"/>
      </top>
      <bottom style="medium">
        <color rgb="FF0070C0"/>
      </bottom>
      <diagonal/>
    </border>
    <border>
      <left style="thin">
        <color indexed="64"/>
      </left>
      <right style="medium">
        <color rgb="FF0070C0"/>
      </right>
      <top style="medium">
        <color indexed="64"/>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thin">
        <color indexed="64"/>
      </right>
      <top style="medium">
        <color rgb="FF0070C0"/>
      </top>
      <bottom style="medium">
        <color rgb="FF0070C0"/>
      </bottom>
      <diagonal/>
    </border>
    <border>
      <left style="thin">
        <color indexed="64"/>
      </left>
      <right style="thin">
        <color indexed="64"/>
      </right>
      <top style="medium">
        <color rgb="FF0070C0"/>
      </top>
      <bottom style="medium">
        <color rgb="FF0070C0"/>
      </bottom>
      <diagonal/>
    </border>
    <border>
      <left style="thin">
        <color indexed="64"/>
      </left>
      <right style="medium">
        <color rgb="FF0070C0"/>
      </right>
      <top style="medium">
        <color rgb="FF0070C0"/>
      </top>
      <bottom style="medium">
        <color rgb="FF0070C0"/>
      </bottom>
      <diagonal/>
    </border>
    <border>
      <left/>
      <right/>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style="medium">
        <color rgb="FF0070C0"/>
      </top>
      <bottom/>
      <diagonal/>
    </border>
    <border>
      <left style="medium">
        <color indexed="64"/>
      </left>
      <right style="medium">
        <color indexed="64"/>
      </right>
      <top/>
      <bottom style="medium">
        <color indexed="64"/>
      </bottom>
      <diagonal/>
    </border>
    <border>
      <left style="medium">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medium">
        <color rgb="FF0070C0"/>
      </right>
      <top style="medium">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right style="medium">
        <color rgb="FF0070C0"/>
      </right>
      <top/>
      <bottom/>
      <diagonal/>
    </border>
    <border>
      <left style="medium">
        <color rgb="FF0070C0"/>
      </left>
      <right/>
      <top/>
      <bottom style="medium">
        <color rgb="FF0070C0"/>
      </bottom>
      <diagonal/>
    </border>
    <border>
      <left/>
      <right style="medium">
        <color rgb="FF0070C0"/>
      </right>
      <top/>
      <bottom style="medium">
        <color rgb="FF0070C0"/>
      </bottom>
      <diagonal/>
    </border>
    <border>
      <left style="medium">
        <color indexed="64"/>
      </left>
      <right style="thin">
        <color indexed="64"/>
      </right>
      <top/>
      <bottom/>
      <diagonal/>
    </border>
    <border>
      <left style="medium">
        <color rgb="FF0070C0"/>
      </left>
      <right/>
      <top/>
      <bottom style="medium">
        <color indexed="64"/>
      </bottom>
      <diagonal/>
    </border>
    <border>
      <left/>
      <right style="medium">
        <color rgb="FF0070C0"/>
      </right>
      <top/>
      <bottom style="medium">
        <color indexed="64"/>
      </bottom>
      <diagonal/>
    </border>
    <border>
      <left/>
      <right/>
      <top style="medium">
        <color rgb="FF0070C0"/>
      </top>
      <bottom style="medium">
        <color rgb="FF0070C0"/>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354">
    <xf numFmtId="0" fontId="0" fillId="0" borderId="0" xfId="0">
      <alignment vertical="center"/>
    </xf>
    <xf numFmtId="49" fontId="4" fillId="0" borderId="0" xfId="0" applyNumberFormat="1" applyFont="1" applyAlignment="1"/>
    <xf numFmtId="49" fontId="5" fillId="0" borderId="0" xfId="0" applyNumberFormat="1" applyFont="1" applyAlignment="1"/>
    <xf numFmtId="49" fontId="8" fillId="0" borderId="0" xfId="0" applyNumberFormat="1" applyFont="1" applyAlignment="1"/>
    <xf numFmtId="49" fontId="8" fillId="0" borderId="0" xfId="0" applyNumberFormat="1" applyFont="1" applyAlignment="1">
      <alignment wrapText="1"/>
    </xf>
    <xf numFmtId="0" fontId="15" fillId="3" borderId="0" xfId="0" applyFont="1" applyFill="1">
      <alignment vertical="center"/>
    </xf>
    <xf numFmtId="0" fontId="0" fillId="3" borderId="0" xfId="0" applyFill="1">
      <alignment vertical="center"/>
    </xf>
    <xf numFmtId="56" fontId="0" fillId="3" borderId="0" xfId="0" quotePrefix="1" applyNumberFormat="1" applyFill="1">
      <alignment vertical="center"/>
    </xf>
    <xf numFmtId="0" fontId="13" fillId="3" borderId="0" xfId="0" quotePrefix="1" applyFont="1" applyFill="1" applyAlignment="1">
      <alignment horizontal="center" vertical="center"/>
    </xf>
    <xf numFmtId="0" fontId="15" fillId="3" borderId="0" xfId="0" applyFont="1" applyFill="1" applyAlignment="1">
      <alignment vertical="top"/>
    </xf>
    <xf numFmtId="0" fontId="14" fillId="3" borderId="0" xfId="0" applyFont="1" applyFill="1" applyAlignment="1">
      <alignment horizontal="center" vertical="center"/>
    </xf>
    <xf numFmtId="0" fontId="16" fillId="3" borderId="0" xfId="0" applyFont="1" applyFill="1" applyAlignment="1">
      <alignment vertical="top"/>
    </xf>
    <xf numFmtId="0" fontId="16" fillId="3" borderId="0" xfId="0" applyFont="1" applyFill="1">
      <alignment vertical="center"/>
    </xf>
    <xf numFmtId="0" fontId="0" fillId="3" borderId="25" xfId="0" applyFill="1" applyBorder="1" applyAlignment="1">
      <alignment horizontal="left" vertical="center"/>
    </xf>
    <xf numFmtId="0" fontId="0" fillId="3" borderId="26" xfId="0" applyFill="1" applyBorder="1" applyAlignment="1">
      <alignment horizontal="left" vertical="center"/>
    </xf>
    <xf numFmtId="0" fontId="0" fillId="3" borderId="0" xfId="0" applyFill="1" applyAlignment="1">
      <alignment horizontal="left" vertical="center"/>
    </xf>
    <xf numFmtId="0" fontId="0" fillId="3" borderId="26" xfId="0" applyFill="1" applyBorder="1" applyAlignment="1">
      <alignment horizontal="left" vertical="top"/>
    </xf>
    <xf numFmtId="0" fontId="14" fillId="3" borderId="0" xfId="0" applyFont="1" applyFill="1" applyAlignment="1">
      <alignment horizontal="center" vertical="center" wrapText="1"/>
    </xf>
    <xf numFmtId="0" fontId="12" fillId="3" borderId="0" xfId="0" applyFont="1" applyFill="1">
      <alignment vertical="center"/>
    </xf>
    <xf numFmtId="0" fontId="14" fillId="3" borderId="0" xfId="0" applyFont="1" applyFill="1" applyAlignment="1">
      <alignment horizontal="center" vertical="center" shrinkToFit="1"/>
    </xf>
    <xf numFmtId="0" fontId="17" fillId="3" borderId="0" xfId="0" applyFont="1" applyFill="1" applyAlignment="1">
      <alignment vertical="top"/>
    </xf>
    <xf numFmtId="0" fontId="17" fillId="3" borderId="0" xfId="0" applyFont="1" applyFill="1">
      <alignment vertical="center"/>
    </xf>
    <xf numFmtId="0" fontId="0" fillId="0" borderId="1" xfId="0" applyBorder="1" applyAlignment="1">
      <alignment horizontal="center" vertical="center"/>
    </xf>
    <xf numFmtId="0" fontId="17" fillId="3" borderId="28" xfId="0" applyFont="1" applyFill="1" applyBorder="1" applyAlignment="1">
      <alignment vertical="top"/>
    </xf>
    <xf numFmtId="176" fontId="18" fillId="3" borderId="0" xfId="0" applyNumberFormat="1" applyFont="1" applyFill="1" applyAlignment="1">
      <alignment horizontal="center" vertical="center"/>
    </xf>
    <xf numFmtId="0" fontId="18" fillId="3" borderId="0" xfId="0" applyFont="1" applyFill="1" applyAlignment="1">
      <alignment horizontal="center" vertical="center" shrinkToFit="1"/>
    </xf>
    <xf numFmtId="0" fontId="18" fillId="3" borderId="0" xfId="0" applyFont="1" applyFill="1" applyAlignment="1">
      <alignment horizontal="center" vertical="center" wrapText="1"/>
    </xf>
    <xf numFmtId="0" fontId="0" fillId="0" borderId="1" xfId="0" applyBorder="1">
      <alignment vertical="center"/>
    </xf>
    <xf numFmtId="0" fontId="0" fillId="4" borderId="1" xfId="0" applyFill="1" applyBorder="1" applyAlignment="1">
      <alignment horizontal="center" vertical="center"/>
    </xf>
    <xf numFmtId="0" fontId="0" fillId="3" borderId="25" xfId="0" applyFill="1" applyBorder="1" applyAlignment="1">
      <alignment vertical="center" wrapText="1"/>
    </xf>
    <xf numFmtId="0" fontId="0" fillId="3" borderId="26" xfId="0" applyFill="1" applyBorder="1" applyAlignment="1">
      <alignment vertical="center" wrapText="1"/>
    </xf>
    <xf numFmtId="0" fontId="0" fillId="3" borderId="27" xfId="0" applyFill="1" applyBorder="1" applyAlignment="1">
      <alignment vertical="center" wrapText="1"/>
    </xf>
    <xf numFmtId="0" fontId="20" fillId="3" borderId="0" xfId="0" applyFont="1" applyFill="1">
      <alignment vertical="center"/>
    </xf>
    <xf numFmtId="0" fontId="21" fillId="3" borderId="0" xfId="0" applyFont="1" applyFill="1" applyAlignment="1">
      <alignment horizontal="center" vertical="center"/>
    </xf>
    <xf numFmtId="0" fontId="20" fillId="3" borderId="0" xfId="0" applyFont="1" applyFill="1" applyAlignment="1">
      <alignment vertical="center" shrinkToFit="1"/>
    </xf>
    <xf numFmtId="0" fontId="20" fillId="3" borderId="0" xfId="0" applyFont="1" applyFill="1" applyAlignment="1">
      <alignment horizontal="left" vertical="center"/>
    </xf>
    <xf numFmtId="0" fontId="19" fillId="3" borderId="0" xfId="0" applyFont="1" applyFill="1">
      <alignment vertical="center"/>
    </xf>
    <xf numFmtId="0" fontId="0" fillId="0" borderId="1" xfId="0" applyBorder="1" applyAlignment="1"/>
    <xf numFmtId="56" fontId="0" fillId="0" borderId="1" xfId="0" applyNumberFormat="1" applyBorder="1" applyAlignment="1"/>
    <xf numFmtId="0" fontId="0" fillId="0" borderId="0" xfId="0" applyAlignment="1">
      <alignment horizontal="center" vertical="center"/>
    </xf>
    <xf numFmtId="0" fontId="0" fillId="0" borderId="29" xfId="0" applyBorder="1" applyAlignment="1"/>
    <xf numFmtId="0" fontId="0" fillId="0" borderId="30" xfId="0" applyBorder="1" applyAlignment="1"/>
    <xf numFmtId="0" fontId="0" fillId="0" borderId="33" xfId="0" applyBorder="1" applyAlignment="1"/>
    <xf numFmtId="0" fontId="0" fillId="0" borderId="35" xfId="0" applyBorder="1" applyAlignment="1"/>
    <xf numFmtId="0" fontId="0" fillId="0" borderId="36" xfId="0" applyBorder="1" applyAlignment="1"/>
    <xf numFmtId="56" fontId="0" fillId="0" borderId="3" xfId="0" applyNumberFormat="1" applyBorder="1" applyAlignment="1"/>
    <xf numFmtId="56" fontId="0" fillId="0" borderId="30" xfId="0" applyNumberFormat="1" applyBorder="1" applyAlignment="1"/>
    <xf numFmtId="56" fontId="0" fillId="0" borderId="36" xfId="0" applyNumberFormat="1" applyBorder="1" applyAlignment="1"/>
    <xf numFmtId="0" fontId="0" fillId="0" borderId="39" xfId="0" applyBorder="1" applyAlignment="1"/>
    <xf numFmtId="56" fontId="0" fillId="0" borderId="4" xfId="0" applyNumberFormat="1" applyBorder="1" applyAlignment="1"/>
    <xf numFmtId="0" fontId="0" fillId="0" borderId="40" xfId="0" applyBorder="1" applyAlignment="1"/>
    <xf numFmtId="0" fontId="0" fillId="0" borderId="32" xfId="0" applyBorder="1" applyAlignment="1">
      <alignment vertical="center" shrinkToFit="1"/>
    </xf>
    <xf numFmtId="0" fontId="0" fillId="0" borderId="34" xfId="0" applyBorder="1" applyAlignment="1">
      <alignment vertical="center" shrinkToFit="1"/>
    </xf>
    <xf numFmtId="0" fontId="0" fillId="0" borderId="37" xfId="0" applyBorder="1" applyAlignment="1">
      <alignment vertical="center" shrinkToFit="1"/>
    </xf>
    <xf numFmtId="0" fontId="0" fillId="0" borderId="30" xfId="0" applyBorder="1" applyAlignment="1">
      <alignment horizontal="center" vertical="center"/>
    </xf>
    <xf numFmtId="0" fontId="0" fillId="3" borderId="31" xfId="0" applyFill="1" applyBorder="1" applyAlignment="1">
      <alignment horizontal="center" vertical="center"/>
    </xf>
    <xf numFmtId="0" fontId="0" fillId="0" borderId="4" xfId="0" applyBorder="1" applyAlignment="1">
      <alignment horizontal="center" vertical="center"/>
    </xf>
    <xf numFmtId="0" fontId="0" fillId="3" borderId="0" xfId="0" applyFill="1" applyAlignment="1">
      <alignment horizontal="center" vertical="center"/>
    </xf>
    <xf numFmtId="0" fontId="0" fillId="0" borderId="38" xfId="0" applyBorder="1" applyAlignment="1">
      <alignment horizontal="center" vertical="center"/>
    </xf>
    <xf numFmtId="0" fontId="0" fillId="3" borderId="38" xfId="0" applyFill="1"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4" borderId="4" xfId="0" applyFill="1"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3" borderId="44" xfId="0" applyFill="1" applyBorder="1" applyAlignment="1">
      <alignment horizontal="center" vertical="center"/>
    </xf>
    <xf numFmtId="0" fontId="0" fillId="3" borderId="46" xfId="0" applyFill="1" applyBorder="1" applyAlignment="1">
      <alignment horizontal="center" vertical="center"/>
    </xf>
    <xf numFmtId="0" fontId="0" fillId="0" borderId="43" xfId="0" applyBorder="1" applyAlignment="1">
      <alignment horizontal="left" vertical="center"/>
    </xf>
    <xf numFmtId="0" fontId="0" fillId="0" borderId="45" xfId="0" applyBorder="1" applyAlignment="1">
      <alignment horizontal="left" vertical="center"/>
    </xf>
    <xf numFmtId="0" fontId="0" fillId="4" borderId="1" xfId="0" applyFill="1" applyBorder="1">
      <alignment vertical="center"/>
    </xf>
    <xf numFmtId="0" fontId="2" fillId="0" borderId="2" xfId="0" applyFont="1" applyBorder="1" applyAlignment="1">
      <alignment horizontal="center" vertical="center"/>
    </xf>
    <xf numFmtId="179" fontId="2" fillId="0" borderId="2" xfId="0" applyNumberFormat="1" applyFont="1" applyBorder="1" applyAlignment="1">
      <alignment horizontal="center" vertical="center"/>
    </xf>
    <xf numFmtId="0" fontId="0" fillId="4" borderId="1" xfId="0" applyFill="1" applyBorder="1" applyAlignment="1">
      <alignment vertical="center" shrinkToFit="1"/>
    </xf>
    <xf numFmtId="0" fontId="0" fillId="0" borderId="32" xfId="0" applyBorder="1" applyAlignment="1">
      <alignment horizontal="center" vertical="center" shrinkToFit="1"/>
    </xf>
    <xf numFmtId="0" fontId="0" fillId="0" borderId="37" xfId="0" applyBorder="1" applyAlignment="1">
      <alignment horizontal="center" vertical="center" shrinkToFit="1"/>
    </xf>
    <xf numFmtId="0" fontId="11" fillId="3" borderId="28" xfId="0" applyFont="1" applyFill="1" applyBorder="1">
      <alignment vertical="center"/>
    </xf>
    <xf numFmtId="0" fontId="0" fillId="3" borderId="28" xfId="0" applyFill="1" applyBorder="1">
      <alignment vertical="center"/>
    </xf>
    <xf numFmtId="0" fontId="19" fillId="3" borderId="0" xfId="0" applyFont="1" applyFill="1" applyAlignment="1">
      <alignment vertical="center" shrinkToFit="1"/>
    </xf>
    <xf numFmtId="0" fontId="19" fillId="3" borderId="0" xfId="0" applyFont="1" applyFill="1" applyAlignment="1">
      <alignment horizontal="left" vertical="center"/>
    </xf>
    <xf numFmtId="0" fontId="3" fillId="3" borderId="48" xfId="0" applyFont="1" applyFill="1" applyBorder="1" applyAlignment="1" applyProtection="1">
      <alignment horizontal="center" vertical="center"/>
      <protection locked="0"/>
    </xf>
    <xf numFmtId="0" fontId="0" fillId="0" borderId="0" xfId="0" applyAlignment="1">
      <alignment horizontal="left" vertical="center"/>
    </xf>
    <xf numFmtId="0" fontId="26" fillId="0" borderId="0" xfId="0" applyFont="1">
      <alignment vertical="center"/>
    </xf>
    <xf numFmtId="0" fontId="26" fillId="2" borderId="4" xfId="0" applyFont="1" applyFill="1" applyBorder="1" applyAlignment="1">
      <alignment horizontal="center" vertical="center"/>
    </xf>
    <xf numFmtId="0" fontId="29" fillId="0" borderId="0" xfId="0" applyFont="1">
      <alignment vertical="center"/>
    </xf>
    <xf numFmtId="0" fontId="30" fillId="0" borderId="0" xfId="0" applyFont="1">
      <alignment vertical="center"/>
    </xf>
    <xf numFmtId="0" fontId="26" fillId="2" borderId="1" xfId="0" applyFont="1" applyFill="1" applyBorder="1" applyAlignment="1">
      <alignment horizontal="center" vertical="center"/>
    </xf>
    <xf numFmtId="0" fontId="15" fillId="0" borderId="1" xfId="0" applyFont="1" applyBorder="1">
      <alignment vertical="center"/>
    </xf>
    <xf numFmtId="0" fontId="29" fillId="0" borderId="1" xfId="0" applyFont="1" applyBorder="1">
      <alignment vertical="center"/>
    </xf>
    <xf numFmtId="0" fontId="30" fillId="0" borderId="1" xfId="0" applyFont="1" applyBorder="1">
      <alignment vertical="center"/>
    </xf>
    <xf numFmtId="0" fontId="26" fillId="0" borderId="1" xfId="0" applyFont="1" applyBorder="1" applyAlignment="1">
      <alignment horizontal="center" vertical="center"/>
    </xf>
    <xf numFmtId="0" fontId="26" fillId="0" borderId="1" xfId="0" applyFont="1" applyBorder="1">
      <alignment vertical="center"/>
    </xf>
    <xf numFmtId="0" fontId="27" fillId="0" borderId="1" xfId="0" applyFont="1" applyBorder="1">
      <alignment vertical="center"/>
    </xf>
    <xf numFmtId="0" fontId="26" fillId="2" borderId="5" xfId="0" applyFont="1" applyFill="1" applyBorder="1" applyAlignment="1">
      <alignment horizontal="center" vertical="center"/>
    </xf>
    <xf numFmtId="0" fontId="26" fillId="2" borderId="3" xfId="0" applyFont="1" applyFill="1" applyBorder="1" applyAlignment="1">
      <alignment horizontal="center" vertical="center"/>
    </xf>
    <xf numFmtId="0" fontId="29" fillId="0" borderId="12" xfId="0" applyFont="1" applyBorder="1">
      <alignment vertical="center"/>
    </xf>
    <xf numFmtId="0" fontId="26" fillId="0" borderId="13" xfId="0" applyFont="1" applyBorder="1">
      <alignment vertical="center"/>
    </xf>
    <xf numFmtId="0" fontId="26" fillId="0" borderId="2" xfId="0" applyFont="1" applyBorder="1">
      <alignment vertical="center"/>
    </xf>
    <xf numFmtId="0" fontId="28" fillId="0" borderId="1" xfId="0" applyFont="1" applyBorder="1">
      <alignment vertical="center"/>
    </xf>
    <xf numFmtId="0" fontId="31" fillId="0" borderId="12" xfId="0" applyFont="1" applyBorder="1">
      <alignment vertical="center"/>
    </xf>
    <xf numFmtId="0" fontId="30" fillId="0" borderId="12" xfId="0" applyFont="1" applyBorder="1">
      <alignment vertical="center"/>
    </xf>
    <xf numFmtId="0" fontId="26" fillId="2" borderId="4" xfId="0" applyFont="1" applyFill="1" applyBorder="1" applyAlignment="1">
      <alignment horizontal="center" vertical="center" shrinkToFit="1"/>
    </xf>
    <xf numFmtId="0" fontId="29" fillId="0" borderId="13" xfId="0" applyFont="1" applyBorder="1">
      <alignment vertical="center"/>
    </xf>
    <xf numFmtId="0" fontId="29" fillId="0" borderId="2" xfId="0" applyFont="1" applyBorder="1">
      <alignment vertical="center"/>
    </xf>
    <xf numFmtId="0" fontId="0" fillId="0" borderId="47" xfId="0" applyBorder="1">
      <alignment vertical="center"/>
    </xf>
    <xf numFmtId="0" fontId="32" fillId="0" borderId="0" xfId="0" applyFont="1">
      <alignment vertical="center"/>
    </xf>
    <xf numFmtId="0" fontId="28" fillId="0" borderId="0" xfId="0" applyFont="1">
      <alignment vertical="center"/>
    </xf>
    <xf numFmtId="0" fontId="28" fillId="0" borderId="48" xfId="0" applyFont="1" applyBorder="1">
      <alignment vertical="center"/>
    </xf>
    <xf numFmtId="0" fontId="28" fillId="5" borderId="48" xfId="0" applyFont="1" applyFill="1" applyBorder="1">
      <alignment vertical="center"/>
    </xf>
    <xf numFmtId="0" fontId="33" fillId="0" borderId="0" xfId="0" applyFont="1">
      <alignment vertical="center"/>
    </xf>
    <xf numFmtId="0" fontId="28" fillId="0" borderId="0" xfId="0" applyFont="1" applyAlignment="1">
      <alignment vertical="top"/>
    </xf>
    <xf numFmtId="0" fontId="28" fillId="0" borderId="0" xfId="0" applyFont="1" applyAlignment="1">
      <alignment horizontal="left" vertical="center"/>
    </xf>
    <xf numFmtId="0" fontId="36" fillId="0" borderId="0" xfId="0" applyFont="1">
      <alignment vertical="center"/>
    </xf>
    <xf numFmtId="0" fontId="31" fillId="0" borderId="6" xfId="0" applyFont="1" applyBorder="1">
      <alignment vertical="center"/>
    </xf>
    <xf numFmtId="0" fontId="28" fillId="0" borderId="14" xfId="0" applyFont="1" applyBorder="1">
      <alignment vertical="center"/>
    </xf>
    <xf numFmtId="0" fontId="37" fillId="0" borderId="8" xfId="0" applyFont="1" applyBorder="1">
      <alignment vertical="center"/>
    </xf>
    <xf numFmtId="0" fontId="37" fillId="0" borderId="10" xfId="0" applyFont="1" applyBorder="1">
      <alignment vertical="center"/>
    </xf>
    <xf numFmtId="0" fontId="28" fillId="0" borderId="15" xfId="0" applyFont="1" applyBorder="1">
      <alignment vertical="center"/>
    </xf>
    <xf numFmtId="0" fontId="26" fillId="6" borderId="0" xfId="0" applyFont="1" applyFill="1">
      <alignment vertical="center"/>
    </xf>
    <xf numFmtId="0" fontId="29" fillId="6" borderId="0" xfId="0" applyFont="1" applyFill="1">
      <alignment vertical="center"/>
    </xf>
    <xf numFmtId="0" fontId="30" fillId="6" borderId="0" xfId="0" applyFont="1" applyFill="1">
      <alignment vertical="center"/>
    </xf>
    <xf numFmtId="0" fontId="39" fillId="0" borderId="0" xfId="0" applyFont="1">
      <alignment vertical="center"/>
    </xf>
    <xf numFmtId="0" fontId="27" fillId="0" borderId="0" xfId="0" applyFont="1">
      <alignment vertical="center"/>
    </xf>
    <xf numFmtId="0" fontId="0" fillId="0" borderId="12" xfId="0" applyBorder="1">
      <alignment vertical="center"/>
    </xf>
    <xf numFmtId="0" fontId="40" fillId="3" borderId="0" xfId="0" applyFont="1" applyFill="1" applyAlignment="1">
      <alignment vertical="top"/>
    </xf>
    <xf numFmtId="0" fontId="0" fillId="4" borderId="56" xfId="0" applyFill="1" applyBorder="1">
      <alignment vertical="center"/>
    </xf>
    <xf numFmtId="56" fontId="0" fillId="0" borderId="41" xfId="0" applyNumberFormat="1" applyBorder="1" applyAlignment="1">
      <alignment horizontal="left" vertical="center"/>
    </xf>
    <xf numFmtId="56" fontId="0" fillId="0" borderId="42" xfId="0" applyNumberFormat="1" applyBorder="1" applyAlignment="1">
      <alignment horizontal="left" vertical="center"/>
    </xf>
    <xf numFmtId="0" fontId="27" fillId="0" borderId="0" xfId="0" applyFont="1" applyAlignment="1">
      <alignment horizontal="left" vertical="center"/>
    </xf>
    <xf numFmtId="0" fontId="26" fillId="0" borderId="1" xfId="0" applyFont="1" applyBorder="1" applyAlignment="1">
      <alignment vertical="center" shrinkToFit="1"/>
    </xf>
    <xf numFmtId="0" fontId="29" fillId="0" borderId="8" xfId="0" applyFont="1" applyBorder="1">
      <alignment vertical="center"/>
    </xf>
    <xf numFmtId="0" fontId="29" fillId="0" borderId="10" xfId="0" applyFont="1" applyBorder="1">
      <alignment vertical="center"/>
    </xf>
    <xf numFmtId="0" fontId="18" fillId="3" borderId="0" xfId="0" applyFont="1" applyFill="1" applyAlignment="1">
      <alignment horizontal="center" vertical="center" wrapText="1" shrinkToFit="1"/>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27" fillId="2" borderId="1" xfId="0" applyFont="1" applyFill="1" applyBorder="1" applyAlignment="1">
      <alignment horizontal="center" vertical="center" shrinkToFit="1"/>
    </xf>
    <xf numFmtId="0" fontId="27" fillId="2" borderId="1" xfId="0" applyFont="1" applyFill="1" applyBorder="1" applyAlignment="1">
      <alignment vertical="center" shrinkToFit="1"/>
    </xf>
    <xf numFmtId="0" fontId="0" fillId="0" borderId="0" xfId="0" applyProtection="1">
      <alignment vertical="center"/>
      <protection locked="0"/>
    </xf>
    <xf numFmtId="0" fontId="11" fillId="0" borderId="0" xfId="0" applyFont="1" applyProtection="1">
      <alignment vertical="center"/>
      <protection locked="0"/>
    </xf>
    <xf numFmtId="0" fontId="3" fillId="3" borderId="0" xfId="0" applyFont="1" applyFill="1">
      <alignment vertical="center"/>
    </xf>
    <xf numFmtId="0" fontId="11" fillId="3" borderId="0" xfId="0" applyFont="1" applyFill="1">
      <alignment vertical="center"/>
    </xf>
    <xf numFmtId="0" fontId="23" fillId="3" borderId="0" xfId="0" applyFont="1" applyFill="1">
      <alignment vertical="center"/>
    </xf>
    <xf numFmtId="177" fontId="3" fillId="3" borderId="0" xfId="0" applyNumberFormat="1" applyFont="1" applyFill="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22" fillId="3" borderId="0" xfId="0" applyFont="1" applyFill="1">
      <alignment vertical="center"/>
    </xf>
    <xf numFmtId="0" fontId="3" fillId="3" borderId="55" xfId="0" applyFont="1" applyFill="1" applyBorder="1" applyAlignment="1">
      <alignment horizontal="center" vertical="center"/>
    </xf>
    <xf numFmtId="0" fontId="3" fillId="3" borderId="0" xfId="0" applyFont="1" applyFill="1" applyAlignment="1">
      <alignment vertical="center" shrinkToFit="1"/>
    </xf>
    <xf numFmtId="0" fontId="0" fillId="0" borderId="34" xfId="0" applyBorder="1" applyAlignment="1">
      <alignment horizontal="center" vertical="center" shrinkToFit="1"/>
    </xf>
    <xf numFmtId="0" fontId="3" fillId="3" borderId="0" xfId="0" applyFont="1" applyFill="1" applyAlignment="1">
      <alignment vertical="top"/>
    </xf>
    <xf numFmtId="0" fontId="0" fillId="0" borderId="65" xfId="0" applyBorder="1" applyAlignment="1">
      <alignment horizontal="left" vertical="center"/>
    </xf>
    <xf numFmtId="56" fontId="0" fillId="0" borderId="5" xfId="0" applyNumberFormat="1" applyBorder="1" applyAlignment="1">
      <alignment horizontal="left" vertical="center"/>
    </xf>
    <xf numFmtId="0" fontId="3" fillId="3" borderId="0" xfId="0" applyFont="1" applyFill="1" applyAlignment="1">
      <alignment vertical="top" wrapText="1"/>
    </xf>
    <xf numFmtId="0" fontId="27" fillId="0" borderId="0" xfId="0" applyFont="1" applyAlignment="1">
      <alignment horizontal="center" vertical="center"/>
    </xf>
    <xf numFmtId="0" fontId="29" fillId="0" borderId="4" xfId="0" applyFont="1" applyBorder="1">
      <alignment vertical="center"/>
    </xf>
    <xf numFmtId="0" fontId="30" fillId="0" borderId="4" xfId="0" applyFont="1" applyBorder="1">
      <alignment vertical="center"/>
    </xf>
    <xf numFmtId="0" fontId="26" fillId="0" borderId="0" xfId="0" applyFont="1" applyAlignment="1">
      <alignment horizontal="center" vertical="center"/>
    </xf>
    <xf numFmtId="56" fontId="0" fillId="0" borderId="12" xfId="0" applyNumberFormat="1" applyBorder="1" applyAlignment="1"/>
    <xf numFmtId="0" fontId="27" fillId="2" borderId="3" xfId="0" applyFont="1" applyFill="1" applyBorder="1" applyAlignment="1">
      <alignment horizontal="center" vertical="center" shrinkToFit="1"/>
    </xf>
    <xf numFmtId="0" fontId="11" fillId="3" borderId="0" xfId="0" applyFont="1" applyFill="1" applyAlignment="1">
      <alignment vertical="top" wrapText="1"/>
    </xf>
    <xf numFmtId="0" fontId="9" fillId="0" borderId="0" xfId="0" applyFont="1" applyAlignment="1">
      <alignment horizontal="right" vertical="top"/>
    </xf>
    <xf numFmtId="0" fontId="43" fillId="3" borderId="0" xfId="0" applyFont="1" applyFill="1" applyAlignment="1">
      <alignment horizontal="center" vertical="center" wrapText="1"/>
    </xf>
    <xf numFmtId="0" fontId="44" fillId="0" borderId="0" xfId="0" applyFont="1" applyProtection="1">
      <alignment vertical="center"/>
      <protection locked="0"/>
    </xf>
    <xf numFmtId="0" fontId="28" fillId="0" borderId="7" xfId="0" applyFont="1" applyBorder="1">
      <alignment vertical="center"/>
    </xf>
    <xf numFmtId="0" fontId="28" fillId="0" borderId="9" xfId="0" applyFont="1" applyBorder="1">
      <alignment vertical="center"/>
    </xf>
    <xf numFmtId="0" fontId="28" fillId="0" borderId="11" xfId="0" applyFont="1" applyBorder="1">
      <alignment vertical="center"/>
    </xf>
    <xf numFmtId="0" fontId="8" fillId="0" borderId="0" xfId="0" applyFont="1" applyAlignment="1"/>
    <xf numFmtId="0" fontId="3" fillId="3" borderId="0" xfId="0" applyFont="1" applyFill="1" applyAlignment="1" applyProtection="1">
      <alignment horizontal="center" vertical="center"/>
      <protection locked="0"/>
    </xf>
    <xf numFmtId="0" fontId="0" fillId="3" borderId="27" xfId="0" applyFill="1" applyBorder="1" applyAlignment="1">
      <alignment horizontal="left" vertical="center"/>
    </xf>
    <xf numFmtId="0" fontId="26" fillId="0" borderId="1" xfId="0" applyFont="1" applyBorder="1" applyAlignment="1">
      <alignment horizontal="left" vertical="center"/>
    </xf>
    <xf numFmtId="0" fontId="15" fillId="0" borderId="14" xfId="0" applyFont="1" applyBorder="1">
      <alignment vertical="center"/>
    </xf>
    <xf numFmtId="0" fontId="29" fillId="0" borderId="14" xfId="0" applyFont="1" applyBorder="1">
      <alignment vertical="center"/>
    </xf>
    <xf numFmtId="56" fontId="0" fillId="0" borderId="1" xfId="0" applyNumberFormat="1" applyBorder="1" applyAlignment="1">
      <alignment shrinkToFit="1"/>
    </xf>
    <xf numFmtId="0" fontId="46" fillId="0" borderId="0" xfId="0" applyFont="1" applyAlignment="1">
      <alignment horizontal="left" vertical="center"/>
    </xf>
    <xf numFmtId="0" fontId="46" fillId="3" borderId="0" xfId="0" applyFont="1" applyFill="1">
      <alignment vertical="center"/>
    </xf>
    <xf numFmtId="0" fontId="47" fillId="3" borderId="0" xfId="0" applyFont="1" applyFill="1" applyAlignment="1">
      <alignment horizontal="left" vertical="center"/>
    </xf>
    <xf numFmtId="0" fontId="48" fillId="3" borderId="0" xfId="0" applyFont="1" applyFill="1" applyAlignment="1">
      <alignment horizontal="left" vertical="center"/>
    </xf>
    <xf numFmtId="0" fontId="49" fillId="3" borderId="0" xfId="0" applyFont="1" applyFill="1" applyAlignment="1">
      <alignment horizontal="left" vertical="center"/>
    </xf>
    <xf numFmtId="0" fontId="29" fillId="3" borderId="28" xfId="0" applyFont="1" applyFill="1" applyBorder="1">
      <alignment vertical="center"/>
    </xf>
    <xf numFmtId="0" fontId="40" fillId="3" borderId="28" xfId="0" applyFont="1" applyFill="1" applyBorder="1">
      <alignment vertical="center"/>
    </xf>
    <xf numFmtId="0" fontId="40" fillId="3" borderId="0" xfId="0" applyFont="1" applyFill="1">
      <alignment vertical="center"/>
    </xf>
    <xf numFmtId="0" fontId="50" fillId="3" borderId="0" xfId="0" applyFont="1" applyFill="1">
      <alignment vertical="center"/>
    </xf>
    <xf numFmtId="0" fontId="40" fillId="3" borderId="0" xfId="0" applyFont="1" applyFill="1" applyAlignment="1">
      <alignment horizontal="left" vertical="center"/>
    </xf>
    <xf numFmtId="0" fontId="50" fillId="3" borderId="0" xfId="0" applyFont="1" applyFill="1" applyAlignment="1">
      <alignment horizontal="left" vertical="center"/>
    </xf>
    <xf numFmtId="0" fontId="26" fillId="3" borderId="0" xfId="0" applyFont="1" applyFill="1">
      <alignment vertical="center"/>
    </xf>
    <xf numFmtId="0" fontId="28" fillId="3" borderId="0" xfId="0" applyFont="1" applyFill="1" applyAlignment="1">
      <alignment horizontal="left" vertical="center"/>
    </xf>
    <xf numFmtId="0" fontId="28" fillId="3" borderId="0" xfId="0" applyFont="1" applyFill="1">
      <alignment vertical="center"/>
    </xf>
    <xf numFmtId="0" fontId="33" fillId="3" borderId="0" xfId="0" applyFont="1" applyFill="1">
      <alignment vertical="center"/>
    </xf>
    <xf numFmtId="0" fontId="28" fillId="3" borderId="0" xfId="0" applyFont="1" applyFill="1" applyAlignment="1">
      <alignment horizontal="center" vertical="center"/>
    </xf>
    <xf numFmtId="0" fontId="28" fillId="3" borderId="48" xfId="0" applyFont="1" applyFill="1" applyBorder="1" applyAlignment="1" applyProtection="1">
      <alignment horizontal="center" vertical="center"/>
      <protection locked="0"/>
    </xf>
    <xf numFmtId="177" fontId="28" fillId="3" borderId="48" xfId="0" applyNumberFormat="1" applyFont="1" applyFill="1" applyBorder="1" applyAlignment="1" applyProtection="1">
      <alignment horizontal="center" vertical="center"/>
      <protection locked="0"/>
    </xf>
    <xf numFmtId="0" fontId="28" fillId="3" borderId="25" xfId="0" applyFont="1" applyFill="1" applyBorder="1" applyAlignment="1" applyProtection="1">
      <alignment horizontal="center" vertical="center"/>
      <protection locked="0"/>
    </xf>
    <xf numFmtId="178" fontId="28" fillId="3" borderId="48" xfId="0" applyNumberFormat="1" applyFont="1" applyFill="1" applyBorder="1" applyAlignment="1" applyProtection="1">
      <alignment horizontal="center" vertical="center"/>
      <protection locked="0"/>
    </xf>
    <xf numFmtId="180" fontId="28" fillId="3" borderId="48" xfId="0" applyNumberFormat="1" applyFont="1" applyFill="1" applyBorder="1" applyAlignment="1" applyProtection="1">
      <alignment horizontal="center" vertical="center"/>
      <protection locked="0"/>
    </xf>
    <xf numFmtId="0" fontId="51" fillId="0" borderId="0" xfId="0" applyFont="1" applyAlignment="1">
      <alignment horizontal="left" vertical="center"/>
    </xf>
    <xf numFmtId="0" fontId="28" fillId="3" borderId="48" xfId="0" applyFont="1" applyFill="1" applyBorder="1" applyAlignment="1">
      <alignment horizontal="center" vertical="center"/>
    </xf>
    <xf numFmtId="0" fontId="53" fillId="0" borderId="0" xfId="0" applyFont="1" applyAlignment="1"/>
    <xf numFmtId="49" fontId="53" fillId="0" borderId="0" xfId="0" applyNumberFormat="1" applyFont="1" applyAlignment="1"/>
    <xf numFmtId="0" fontId="54" fillId="0" borderId="0" xfId="0" applyFont="1">
      <alignment vertical="center"/>
    </xf>
    <xf numFmtId="49" fontId="54" fillId="0" borderId="1" xfId="0" applyNumberFormat="1" applyFont="1" applyBorder="1" applyAlignment="1">
      <alignment horizontal="center" vertical="center"/>
    </xf>
    <xf numFmtId="49" fontId="54" fillId="0" borderId="0" xfId="0" applyNumberFormat="1" applyFont="1">
      <alignment vertical="center"/>
    </xf>
    <xf numFmtId="0" fontId="0" fillId="0" borderId="69" xfId="0" quotePrefix="1" applyBorder="1">
      <alignment vertical="center"/>
    </xf>
    <xf numFmtId="0" fontId="0" fillId="0" borderId="31" xfId="0" applyBorder="1">
      <alignment vertical="center"/>
    </xf>
    <xf numFmtId="0" fontId="0" fillId="0" borderId="32" xfId="0" applyBorder="1">
      <alignment vertical="center"/>
    </xf>
    <xf numFmtId="0" fontId="0" fillId="0" borderId="70" xfId="0" quotePrefix="1" applyBorder="1">
      <alignment vertical="center"/>
    </xf>
    <xf numFmtId="0" fontId="0" fillId="0" borderId="34" xfId="0" applyBorder="1">
      <alignment vertical="center"/>
    </xf>
    <xf numFmtId="0" fontId="0" fillId="0" borderId="71" xfId="0" quotePrefix="1" applyBorder="1">
      <alignment vertical="center"/>
    </xf>
    <xf numFmtId="0" fontId="0" fillId="0" borderId="38" xfId="0" applyBorder="1">
      <alignment vertical="center"/>
    </xf>
    <xf numFmtId="0" fontId="0" fillId="0" borderId="37" xfId="0" applyBorder="1">
      <alignment vertical="center"/>
    </xf>
    <xf numFmtId="0" fontId="0" fillId="0" borderId="44" xfId="0" quotePrefix="1" applyBorder="1">
      <alignment vertical="center"/>
    </xf>
    <xf numFmtId="0" fontId="0" fillId="0" borderId="8" xfId="0" applyBorder="1">
      <alignment vertical="center"/>
    </xf>
    <xf numFmtId="0" fontId="0" fillId="0" borderId="46"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29" xfId="0" quotePrefix="1" applyBorder="1">
      <alignment vertical="center"/>
    </xf>
    <xf numFmtId="0" fontId="0" fillId="0" borderId="33" xfId="0" quotePrefix="1" applyBorder="1">
      <alignment vertical="center"/>
    </xf>
    <xf numFmtId="0" fontId="0" fillId="0" borderId="35" xfId="0" quotePrefix="1" applyBorder="1">
      <alignment vertical="center"/>
    </xf>
    <xf numFmtId="0" fontId="28" fillId="0" borderId="48" xfId="0" applyFont="1" applyBorder="1" applyProtection="1">
      <alignment vertical="center"/>
      <protection locked="0"/>
    </xf>
    <xf numFmtId="0" fontId="0" fillId="4" borderId="36" xfId="0" applyFill="1" applyBorder="1">
      <alignment vertical="center"/>
    </xf>
    <xf numFmtId="0" fontId="0" fillId="0" borderId="36" xfId="0" applyBorder="1">
      <alignment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1" xfId="0" applyFont="1" applyBorder="1" applyAlignment="1">
      <alignment horizontal="left" vertical="center" shrinkToFit="1"/>
    </xf>
    <xf numFmtId="0" fontId="3" fillId="3" borderId="48" xfId="0" applyFont="1" applyFill="1" applyBorder="1" applyAlignment="1" applyProtection="1">
      <alignment horizontal="center" vertical="center" wrapText="1"/>
      <protection locked="0"/>
    </xf>
    <xf numFmtId="0" fontId="11" fillId="3" borderId="60" xfId="0" applyFont="1" applyFill="1" applyBorder="1" applyAlignment="1" applyProtection="1">
      <alignment horizontal="left" vertical="top" wrapText="1"/>
      <protection locked="0"/>
    </xf>
    <xf numFmtId="0" fontId="11" fillId="3" borderId="55" xfId="0" applyFont="1" applyFill="1" applyBorder="1" applyAlignment="1" applyProtection="1">
      <alignment horizontal="left" vertical="top" wrapText="1"/>
      <protection locked="0"/>
    </xf>
    <xf numFmtId="0" fontId="11" fillId="3" borderId="61"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62" xfId="0" applyFont="1" applyFill="1" applyBorder="1" applyAlignment="1" applyProtection="1">
      <alignment horizontal="left" vertical="top" wrapText="1"/>
      <protection locked="0"/>
    </xf>
    <xf numFmtId="0" fontId="11" fillId="3" borderId="63" xfId="0" applyFont="1" applyFill="1" applyBorder="1" applyAlignment="1" applyProtection="1">
      <alignment horizontal="left" vertical="top" wrapText="1"/>
      <protection locked="0"/>
    </xf>
    <xf numFmtId="0" fontId="11" fillId="3" borderId="52" xfId="0" applyFont="1" applyFill="1" applyBorder="1" applyAlignment="1" applyProtection="1">
      <alignment horizontal="left" vertical="top" wrapText="1"/>
      <protection locked="0"/>
    </xf>
    <xf numFmtId="0" fontId="11" fillId="3" borderId="64" xfId="0" applyFont="1" applyFill="1" applyBorder="1" applyAlignment="1" applyProtection="1">
      <alignment horizontal="left" vertical="top" wrapText="1"/>
      <protection locked="0"/>
    </xf>
    <xf numFmtId="0" fontId="28" fillId="3" borderId="57" xfId="0" applyFont="1" applyFill="1" applyBorder="1" applyAlignment="1" applyProtection="1">
      <alignment horizontal="left" vertical="center"/>
      <protection locked="0"/>
    </xf>
    <xf numFmtId="0" fontId="28" fillId="3" borderId="58" xfId="0" applyFont="1" applyFill="1" applyBorder="1" applyAlignment="1" applyProtection="1">
      <alignment horizontal="left" vertical="center"/>
      <protection locked="0"/>
    </xf>
    <xf numFmtId="0" fontId="28" fillId="3" borderId="59" xfId="0" applyFont="1" applyFill="1" applyBorder="1" applyAlignment="1" applyProtection="1">
      <alignment horizontal="left" vertical="center"/>
      <protection locked="0"/>
    </xf>
    <xf numFmtId="0" fontId="28" fillId="3" borderId="49" xfId="0" applyFont="1" applyFill="1" applyBorder="1" applyAlignment="1" applyProtection="1">
      <alignment horizontal="left" vertical="center"/>
      <protection locked="0"/>
    </xf>
    <xf numFmtId="0" fontId="28" fillId="3" borderId="50" xfId="0" applyFont="1" applyFill="1" applyBorder="1" applyAlignment="1" applyProtection="1">
      <alignment horizontal="left" vertical="center"/>
      <protection locked="0"/>
    </xf>
    <xf numFmtId="0" fontId="28" fillId="3" borderId="51" xfId="0" applyFont="1" applyFill="1" applyBorder="1" applyAlignment="1" applyProtection="1">
      <alignment horizontal="left" vertical="center"/>
      <protection locked="0"/>
    </xf>
    <xf numFmtId="0" fontId="3" fillId="3" borderId="60" xfId="0" applyFont="1" applyFill="1" applyBorder="1" applyAlignment="1" applyProtection="1">
      <alignment horizontal="left" vertical="top" wrapText="1"/>
      <protection locked="0"/>
    </xf>
    <xf numFmtId="0" fontId="3" fillId="3" borderId="55" xfId="0" applyFont="1" applyFill="1" applyBorder="1" applyAlignment="1" applyProtection="1">
      <alignment horizontal="left" vertical="top" wrapText="1"/>
      <protection locked="0"/>
    </xf>
    <xf numFmtId="0" fontId="3" fillId="3" borderId="61" xfId="0" applyFont="1" applyFill="1" applyBorder="1" applyAlignment="1" applyProtection="1">
      <alignment horizontal="left" vertical="top" wrapText="1"/>
      <protection locked="0"/>
    </xf>
    <xf numFmtId="0" fontId="3" fillId="3" borderId="28"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62" xfId="0" applyFont="1" applyFill="1" applyBorder="1" applyAlignment="1" applyProtection="1">
      <alignment horizontal="left" vertical="top" wrapText="1"/>
      <protection locked="0"/>
    </xf>
    <xf numFmtId="0" fontId="3" fillId="3" borderId="63" xfId="0" applyFont="1" applyFill="1" applyBorder="1" applyAlignment="1" applyProtection="1">
      <alignment horizontal="left" vertical="top" wrapText="1"/>
      <protection locked="0"/>
    </xf>
    <xf numFmtId="0" fontId="3" fillId="3" borderId="52" xfId="0" applyFont="1" applyFill="1" applyBorder="1" applyAlignment="1" applyProtection="1">
      <alignment horizontal="left" vertical="top" wrapText="1"/>
      <protection locked="0"/>
    </xf>
    <xf numFmtId="0" fontId="3" fillId="3" borderId="64" xfId="0" applyFont="1" applyFill="1" applyBorder="1" applyAlignment="1" applyProtection="1">
      <alignment horizontal="left" vertical="top" wrapText="1"/>
      <protection locked="0"/>
    </xf>
    <xf numFmtId="49" fontId="11" fillId="3" borderId="60" xfId="0" applyNumberFormat="1" applyFont="1" applyFill="1" applyBorder="1" applyAlignment="1" applyProtection="1">
      <alignment horizontal="left" vertical="top" wrapText="1"/>
      <protection locked="0"/>
    </xf>
    <xf numFmtId="49" fontId="11" fillId="3" borderId="55" xfId="0" applyNumberFormat="1" applyFont="1" applyFill="1" applyBorder="1" applyAlignment="1" applyProtection="1">
      <alignment horizontal="left" vertical="top" wrapText="1"/>
      <protection locked="0"/>
    </xf>
    <xf numFmtId="49" fontId="11" fillId="3" borderId="61" xfId="0" applyNumberFormat="1" applyFont="1" applyFill="1" applyBorder="1" applyAlignment="1" applyProtection="1">
      <alignment horizontal="left" vertical="top" wrapText="1"/>
      <protection locked="0"/>
    </xf>
    <xf numFmtId="49" fontId="11" fillId="3" borderId="28" xfId="0" applyNumberFormat="1" applyFont="1" applyFill="1" applyBorder="1" applyAlignment="1" applyProtection="1">
      <alignment horizontal="left" vertical="top" wrapText="1"/>
      <protection locked="0"/>
    </xf>
    <xf numFmtId="49" fontId="11" fillId="3" borderId="0" xfId="0" applyNumberFormat="1" applyFont="1" applyFill="1" applyAlignment="1" applyProtection="1">
      <alignment horizontal="left" vertical="top" wrapText="1"/>
      <protection locked="0"/>
    </xf>
    <xf numFmtId="49" fontId="11" fillId="3" borderId="62" xfId="0" applyNumberFormat="1" applyFont="1" applyFill="1" applyBorder="1" applyAlignment="1" applyProtection="1">
      <alignment horizontal="left" vertical="top" wrapText="1"/>
      <protection locked="0"/>
    </xf>
    <xf numFmtId="49" fontId="11" fillId="3" borderId="66" xfId="0" applyNumberFormat="1" applyFont="1" applyFill="1" applyBorder="1" applyAlignment="1" applyProtection="1">
      <alignment horizontal="left" vertical="top" wrapText="1"/>
      <protection locked="0"/>
    </xf>
    <xf numFmtId="49" fontId="11" fillId="3" borderId="38" xfId="0" applyNumberFormat="1" applyFont="1" applyFill="1" applyBorder="1" applyAlignment="1" applyProtection="1">
      <alignment horizontal="left" vertical="top" wrapText="1"/>
      <protection locked="0"/>
    </xf>
    <xf numFmtId="49" fontId="11" fillId="3" borderId="67" xfId="0" applyNumberFormat="1" applyFont="1" applyFill="1" applyBorder="1" applyAlignment="1" applyProtection="1">
      <alignment horizontal="left" vertical="top" wrapText="1"/>
      <protection locked="0"/>
    </xf>
    <xf numFmtId="49" fontId="11" fillId="3" borderId="63" xfId="0" applyNumberFormat="1" applyFont="1" applyFill="1" applyBorder="1" applyAlignment="1" applyProtection="1">
      <alignment horizontal="left" vertical="top" wrapText="1"/>
      <protection locked="0"/>
    </xf>
    <xf numFmtId="49" fontId="11" fillId="3" borderId="52" xfId="0" applyNumberFormat="1" applyFont="1" applyFill="1" applyBorder="1" applyAlignment="1" applyProtection="1">
      <alignment horizontal="left" vertical="top" wrapText="1"/>
      <protection locked="0"/>
    </xf>
    <xf numFmtId="49" fontId="11" fillId="3" borderId="64" xfId="0" applyNumberFormat="1" applyFont="1" applyFill="1" applyBorder="1" applyAlignment="1" applyProtection="1">
      <alignment horizontal="left" vertical="top" wrapText="1"/>
      <protection locked="0"/>
    </xf>
    <xf numFmtId="0" fontId="26" fillId="3" borderId="53" xfId="0" applyFont="1" applyFill="1" applyBorder="1" applyAlignment="1" applyProtection="1">
      <alignment vertical="center" wrapText="1" shrinkToFit="1"/>
      <protection locked="0"/>
    </xf>
    <xf numFmtId="0" fontId="26" fillId="3" borderId="68" xfId="0" applyFont="1" applyFill="1" applyBorder="1" applyAlignment="1" applyProtection="1">
      <alignment vertical="center" wrapText="1" shrinkToFit="1"/>
      <protection locked="0"/>
    </xf>
    <xf numFmtId="0" fontId="26" fillId="3" borderId="54" xfId="0" applyFont="1" applyFill="1" applyBorder="1" applyAlignment="1" applyProtection="1">
      <alignment vertical="center" wrapText="1" shrinkToFi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21"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11" fillId="3" borderId="2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56" fontId="11" fillId="3" borderId="17" xfId="0" applyNumberFormat="1" applyFont="1" applyFill="1" applyBorder="1" applyAlignment="1" applyProtection="1">
      <alignment horizontal="left" vertical="top" wrapText="1"/>
      <protection locked="0"/>
    </xf>
    <xf numFmtId="0" fontId="0" fillId="3" borderId="25" xfId="0"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12" fillId="3" borderId="0" xfId="0" applyFont="1" applyFill="1" applyAlignment="1">
      <alignment horizontal="center" vertical="center"/>
    </xf>
    <xf numFmtId="0" fontId="0" fillId="3" borderId="0" xfId="0" applyFill="1" applyAlignment="1">
      <alignment horizontal="center" vertical="center"/>
    </xf>
    <xf numFmtId="0" fontId="0" fillId="3" borderId="52" xfId="0" applyFill="1" applyBorder="1" applyAlignment="1">
      <alignment horizontal="center" vertical="center"/>
    </xf>
    <xf numFmtId="177" fontId="0" fillId="3" borderId="0" xfId="0" applyNumberFormat="1" applyFill="1" applyAlignment="1">
      <alignment horizontal="center" vertical="center" shrinkToFit="1"/>
    </xf>
    <xf numFmtId="177" fontId="0" fillId="3" borderId="52" xfId="0" applyNumberFormat="1" applyFill="1" applyBorder="1" applyAlignment="1">
      <alignment horizontal="center" vertical="center" shrinkToFit="1"/>
    </xf>
    <xf numFmtId="0" fontId="0" fillId="3" borderId="0" xfId="0" applyFill="1" applyAlignment="1">
      <alignment horizontal="left" vertical="center"/>
    </xf>
    <xf numFmtId="0" fontId="0" fillId="3" borderId="52" xfId="0" applyFill="1" applyBorder="1" applyAlignment="1">
      <alignment horizontal="left" vertical="center"/>
    </xf>
    <xf numFmtId="0" fontId="16" fillId="3" borderId="0" xfId="0" applyFont="1" applyFill="1" applyAlignment="1">
      <alignment horizontal="left" vertical="top"/>
    </xf>
    <xf numFmtId="0" fontId="12" fillId="3" borderId="0" xfId="0" applyFont="1" applyFill="1" applyAlignment="1">
      <alignment horizontal="center" vertical="center" shrinkToFit="1"/>
    </xf>
    <xf numFmtId="0" fontId="15" fillId="3" borderId="25"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0" fillId="0" borderId="32" xfId="0" applyBorder="1" applyAlignment="1">
      <alignment horizontal="center" vertical="center" shrinkToFit="1"/>
    </xf>
    <xf numFmtId="0" fontId="0" fillId="0" borderId="34" xfId="0" applyBorder="1" applyAlignment="1">
      <alignment horizontal="center" vertical="center" shrinkToFit="1"/>
    </xf>
    <xf numFmtId="0" fontId="0" fillId="0" borderId="37" xfId="0" applyBorder="1" applyAlignment="1">
      <alignment horizontal="center" vertical="center" shrinkToFit="1"/>
    </xf>
    <xf numFmtId="0" fontId="0" fillId="4" borderId="4" xfId="0" applyFill="1" applyBorder="1" applyAlignment="1">
      <alignment horizontal="center" vertical="center"/>
    </xf>
    <xf numFmtId="0" fontId="0" fillId="4" borderId="12" xfId="0" applyFill="1" applyBorder="1" applyAlignment="1">
      <alignment horizontal="center" vertical="center"/>
    </xf>
    <xf numFmtId="0" fontId="0" fillId="4" borderId="2" xfId="0" applyFill="1" applyBorder="1" applyAlignment="1">
      <alignment horizontal="center" vertical="center"/>
    </xf>
    <xf numFmtId="0" fontId="0" fillId="0" borderId="4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0" fillId="0" borderId="29" xfId="0" applyBorder="1" applyAlignment="1">
      <alignment horizontal="left" vertical="center"/>
    </xf>
    <xf numFmtId="0" fontId="0" fillId="0" borderId="33" xfId="0" applyBorder="1" applyAlignment="1">
      <alignment horizontal="left" vertical="center"/>
    </xf>
    <xf numFmtId="0" fontId="0" fillId="0" borderId="35" xfId="0" applyBorder="1" applyAlignment="1">
      <alignment horizontal="left" vertical="center"/>
    </xf>
    <xf numFmtId="56" fontId="0" fillId="0" borderId="30" xfId="0" applyNumberFormat="1" applyBorder="1" applyAlignment="1">
      <alignment horizontal="left" vertical="center"/>
    </xf>
    <xf numFmtId="56" fontId="0" fillId="0" borderId="1" xfId="0" applyNumberFormat="1" applyBorder="1" applyAlignment="1">
      <alignment horizontal="left" vertical="center"/>
    </xf>
    <xf numFmtId="56" fontId="0" fillId="0" borderId="36" xfId="0" applyNumberFormat="1" applyBorder="1" applyAlignment="1">
      <alignment horizontal="left" vertical="center"/>
    </xf>
    <xf numFmtId="0" fontId="0" fillId="4" borderId="1" xfId="0" applyFill="1" applyBorder="1" applyAlignment="1">
      <alignment horizontal="center" vertical="center"/>
    </xf>
    <xf numFmtId="0" fontId="0" fillId="4" borderId="1" xfId="0" applyFill="1" applyBorder="1" applyAlignment="1">
      <alignment horizontal="center" vertical="center" shrinkToFit="1"/>
    </xf>
    <xf numFmtId="0" fontId="0" fillId="0" borderId="0" xfId="0" applyAlignment="1">
      <alignment horizontal="left"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0" fillId="4" borderId="4" xfId="0" applyFill="1" applyBorder="1" applyAlignment="1">
      <alignment horizontal="center" vertical="center" shrinkToFit="1"/>
    </xf>
    <xf numFmtId="0" fontId="0" fillId="4" borderId="3" xfId="0" applyFill="1" applyBorder="1" applyAlignment="1">
      <alignment horizontal="center" vertical="center" shrinkToFi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13" xfId="0" applyFont="1" applyBorder="1" applyAlignment="1">
      <alignment horizontal="center" vertical="center"/>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2"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3"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6" fillId="2" borderId="1" xfId="0" applyFont="1" applyFill="1" applyBorder="1" applyAlignment="1">
      <alignment horizontal="center" vertical="center"/>
    </xf>
    <xf numFmtId="0" fontId="54" fillId="0" borderId="1" xfId="0" applyFont="1" applyBorder="1" applyAlignment="1">
      <alignment horizontal="center" vertical="center"/>
    </xf>
    <xf numFmtId="0" fontId="52" fillId="0" borderId="1" xfId="0" applyFont="1" applyBorder="1" applyAlignment="1">
      <alignment horizontal="left" vertical="center" wrapText="1"/>
    </xf>
    <xf numFmtId="0" fontId="54" fillId="0" borderId="6" xfId="0" applyFont="1" applyBorder="1" applyAlignment="1">
      <alignment horizontal="center" vertical="center"/>
    </xf>
    <xf numFmtId="0" fontId="54" fillId="0" borderId="14" xfId="0" applyFont="1" applyBorder="1" applyAlignment="1">
      <alignment horizontal="center" vertical="center"/>
    </xf>
    <xf numFmtId="0" fontId="54" fillId="0" borderId="7" xfId="0" applyFont="1" applyBorder="1" applyAlignment="1">
      <alignment horizontal="center" vertical="center"/>
    </xf>
    <xf numFmtId="0" fontId="54" fillId="0" borderId="10" xfId="0" applyFont="1" applyBorder="1" applyAlignment="1">
      <alignment horizontal="center" vertical="center"/>
    </xf>
    <xf numFmtId="0" fontId="54" fillId="0" borderId="15" xfId="0" applyFont="1" applyBorder="1" applyAlignment="1">
      <alignment horizontal="center" vertical="center"/>
    </xf>
    <xf numFmtId="0" fontId="54" fillId="0" borderId="11" xfId="0" applyFont="1" applyBorder="1" applyAlignment="1">
      <alignment horizontal="center" vertical="center"/>
    </xf>
    <xf numFmtId="0" fontId="52" fillId="0" borderId="6" xfId="0" applyFont="1" applyBorder="1" applyAlignment="1">
      <alignment horizontal="left" vertical="center" wrapText="1"/>
    </xf>
    <xf numFmtId="0" fontId="52" fillId="0" borderId="14" xfId="0" applyFont="1" applyBorder="1" applyAlignment="1">
      <alignment horizontal="left" vertical="center" wrapText="1"/>
    </xf>
    <xf numFmtId="0" fontId="52"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52" fillId="0" borderId="9" xfId="0" applyFont="1" applyBorder="1" applyAlignment="1">
      <alignment horizontal="left" vertical="center" wrapText="1"/>
    </xf>
    <xf numFmtId="0" fontId="52" fillId="0" borderId="10" xfId="0" applyFont="1" applyBorder="1" applyAlignment="1">
      <alignment horizontal="left" vertical="center" wrapText="1"/>
    </xf>
    <xf numFmtId="0" fontId="52" fillId="0" borderId="15" xfId="0" applyFont="1" applyBorder="1" applyAlignment="1">
      <alignment horizontal="left" vertical="center" wrapText="1"/>
    </xf>
    <xf numFmtId="0" fontId="52" fillId="0" borderId="11" xfId="0" applyFont="1" applyBorder="1" applyAlignment="1">
      <alignment horizontal="left" vertical="center" wrapText="1"/>
    </xf>
    <xf numFmtId="177" fontId="9" fillId="0" borderId="0" xfId="0" applyNumberFormat="1" applyFont="1" applyAlignment="1">
      <alignment horizontal="left" vertical="top" wrapText="1"/>
    </xf>
    <xf numFmtId="0" fontId="10" fillId="0" borderId="15" xfId="0" applyFont="1" applyBorder="1" applyAlignment="1">
      <alignment horizontal="left" vertical="top" shrinkToFit="1"/>
    </xf>
    <xf numFmtId="49" fontId="54" fillId="0" borderId="12" xfId="0" applyNumberFormat="1" applyFont="1" applyBorder="1" applyAlignment="1">
      <alignment horizontal="center" vertical="center"/>
    </xf>
    <xf numFmtId="49" fontId="54" fillId="0" borderId="2" xfId="0" applyNumberFormat="1" applyFont="1" applyBorder="1" applyAlignment="1">
      <alignment horizontal="center" vertical="center"/>
    </xf>
    <xf numFmtId="49" fontId="54" fillId="0" borderId="1"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5" xfId="0" applyNumberFormat="1" applyFont="1" applyBorder="1" applyAlignment="1">
      <alignment horizontal="center" vertical="center"/>
    </xf>
    <xf numFmtId="0" fontId="54" fillId="0" borderId="4" xfId="0" applyFont="1" applyBorder="1" applyAlignment="1">
      <alignment horizontal="center" vertical="center"/>
    </xf>
    <xf numFmtId="0" fontId="54" fillId="0" borderId="3" xfId="0" applyFont="1" applyBorder="1" applyAlignment="1">
      <alignment horizontal="center" vertical="center"/>
    </xf>
    <xf numFmtId="0" fontId="54" fillId="0" borderId="6" xfId="0" applyFont="1" applyBorder="1" applyAlignment="1">
      <alignment horizontal="left" vertical="center"/>
    </xf>
    <xf numFmtId="0" fontId="54" fillId="0" borderId="14" xfId="0" applyFont="1" applyBorder="1" applyAlignment="1">
      <alignment horizontal="left" vertical="center"/>
    </xf>
    <xf numFmtId="0" fontId="54" fillId="0" borderId="7" xfId="0" applyFont="1" applyBorder="1" applyAlignment="1">
      <alignment horizontal="left" vertical="center"/>
    </xf>
    <xf numFmtId="0" fontId="54" fillId="0" borderId="10" xfId="0" applyFont="1" applyBorder="1" applyAlignment="1">
      <alignment horizontal="left" vertical="center"/>
    </xf>
    <xf numFmtId="0" fontId="54" fillId="0" borderId="15" xfId="0" applyFont="1" applyBorder="1" applyAlignment="1">
      <alignment horizontal="left" vertical="center"/>
    </xf>
    <xf numFmtId="0" fontId="54" fillId="0" borderId="11" xfId="0" applyFont="1" applyBorder="1" applyAlignment="1">
      <alignment horizontal="left" vertical="center"/>
    </xf>
  </cellXfs>
  <cellStyles count="1">
    <cellStyle name="標準" xfId="0" builtinId="0"/>
  </cellStyles>
  <dxfs count="68">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border>
        <left/>
        <vertical/>
        <horizontal/>
      </border>
    </dxf>
    <dxf>
      <border>
        <left/>
        <right/>
        <bottom/>
        <vertical/>
        <horizontal/>
      </border>
    </dxf>
    <dxf>
      <border>
        <left/>
        <vertical/>
        <horizontal/>
      </border>
    </dxf>
    <dxf>
      <border>
        <left/>
        <right/>
        <top/>
        <bottom/>
        <vertical/>
        <horizontal/>
      </border>
    </dxf>
    <dxf>
      <border>
        <left/>
        <right/>
        <bottom/>
        <vertical/>
        <horizontal/>
      </border>
    </dxf>
    <dxf>
      <fill>
        <patternFill patternType="none">
          <bgColor auto="1"/>
        </patternFill>
      </fill>
      <border>
        <left/>
        <right/>
        <top/>
        <bottom/>
      </border>
    </dxf>
    <dxf>
      <fill>
        <patternFill>
          <bgColor theme="9" tint="0.79998168889431442"/>
        </patternFill>
      </fill>
    </dxf>
    <dxf>
      <fill>
        <patternFill>
          <bgColor theme="9" tint="0.79998168889431442"/>
        </patternFill>
      </fill>
    </dxf>
    <dxf>
      <font>
        <color theme="0"/>
      </font>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0"/>
        </patternFill>
      </fill>
      <border>
        <left/>
        <right/>
      </border>
    </dxf>
    <dxf>
      <border>
        <left/>
        <right/>
        <bottom/>
        <vertical/>
        <horizontal/>
      </border>
    </dxf>
    <dxf>
      <fill>
        <patternFill>
          <bgColor theme="9" tint="0.79998168889431442"/>
        </patternFill>
      </fill>
    </dxf>
    <dxf>
      <fill>
        <patternFill patternType="solid">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s>
  <tableStyles count="1" defaultTableStyle="TableStyleMedium2" defaultPivotStyle="PivotStyleLight16">
    <tableStyle name="Invisible" pivot="0" table="0" count="0" xr9:uid="{00000000-0011-0000-FFFF-FFFF00000000}"/>
  </tableStyles>
  <colors>
    <mruColors>
      <color rgb="FFFFFF99"/>
      <color rgb="FFFF5050"/>
      <color rgb="FFFF6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計算シート!$B$2" lockText="1"/>
</file>

<file path=xl/ctrlProps/ctrlProp10.xml><?xml version="1.0" encoding="utf-8"?>
<formControlPr xmlns="http://schemas.microsoft.com/office/spreadsheetml/2009/9/main" objectType="CheckBox" fmlaLink="計算シート!$B$15" lockText="1" noThreeD="1"/>
</file>

<file path=xl/ctrlProps/ctrlProp11.xml><?xml version="1.0" encoding="utf-8"?>
<formControlPr xmlns="http://schemas.microsoft.com/office/spreadsheetml/2009/9/main" objectType="CheckBox" fmlaLink="計算シート!$B$16" lockText="1" noThreeD="1"/>
</file>

<file path=xl/ctrlProps/ctrlProp12.xml><?xml version="1.0" encoding="utf-8"?>
<formControlPr xmlns="http://schemas.microsoft.com/office/spreadsheetml/2009/9/main" objectType="CheckBox" fmlaLink="計算シート!$B$17" lockText="1" noThreeD="1"/>
</file>

<file path=xl/ctrlProps/ctrlProp13.xml><?xml version="1.0" encoding="utf-8"?>
<formControlPr xmlns="http://schemas.microsoft.com/office/spreadsheetml/2009/9/main" objectType="CheckBox" fmlaLink="計算シート!$B$18" lockText="1" noThreeD="1"/>
</file>

<file path=xl/ctrlProps/ctrlProp14.xml><?xml version="1.0" encoding="utf-8"?>
<formControlPr xmlns="http://schemas.microsoft.com/office/spreadsheetml/2009/9/main" objectType="CheckBox" fmlaLink="計算シート!$B$19" lockText="1" noThreeD="1"/>
</file>

<file path=xl/ctrlProps/ctrlProp15.xml><?xml version="1.0" encoding="utf-8"?>
<formControlPr xmlns="http://schemas.microsoft.com/office/spreadsheetml/2009/9/main" objectType="CheckBox" fmlaLink="計算シート!$B$20" lockText="1" noThreeD="1"/>
</file>

<file path=xl/ctrlProps/ctrlProp16.xml><?xml version="1.0" encoding="utf-8"?>
<formControlPr xmlns="http://schemas.microsoft.com/office/spreadsheetml/2009/9/main" objectType="CheckBox" fmlaLink="計算シート!$B$21" lockText="1" noThreeD="1"/>
</file>

<file path=xl/ctrlProps/ctrlProp17.xml><?xml version="1.0" encoding="utf-8"?>
<formControlPr xmlns="http://schemas.microsoft.com/office/spreadsheetml/2009/9/main" objectType="CheckBox" fmlaLink="計算シート!$B$22" lockText="1" noThreeD="1"/>
</file>

<file path=xl/ctrlProps/ctrlProp18.xml><?xml version="1.0" encoding="utf-8"?>
<formControlPr xmlns="http://schemas.microsoft.com/office/spreadsheetml/2009/9/main" objectType="CheckBox" fmlaLink="計算シート!$B$23" lockText="1" noThreeD="1"/>
</file>

<file path=xl/ctrlProps/ctrlProp19.xml><?xml version="1.0" encoding="utf-8"?>
<formControlPr xmlns="http://schemas.microsoft.com/office/spreadsheetml/2009/9/main" objectType="CheckBox" fmlaLink="計算シート!$B$24" lockText="1" noThreeD="1"/>
</file>

<file path=xl/ctrlProps/ctrlProp2.xml><?xml version="1.0" encoding="utf-8"?>
<formControlPr xmlns="http://schemas.microsoft.com/office/spreadsheetml/2009/9/main" objectType="CheckBox" fmlaLink="計算シート!$B$3" lockText="1"/>
</file>

<file path=xl/ctrlProps/ctrlProp20.xml><?xml version="1.0" encoding="utf-8"?>
<formControlPr xmlns="http://schemas.microsoft.com/office/spreadsheetml/2009/9/main" objectType="CheckBox" fmlaLink="計算シート!$B$25" lockText="1" noThreeD="1"/>
</file>

<file path=xl/ctrlProps/ctrlProp21.xml><?xml version="1.0" encoding="utf-8"?>
<formControlPr xmlns="http://schemas.microsoft.com/office/spreadsheetml/2009/9/main" objectType="CheckBox" fmlaLink="計算シート!$B$26" lockText="1" noThreeD="1"/>
</file>

<file path=xl/ctrlProps/ctrlProp3.xml><?xml version="1.0" encoding="utf-8"?>
<formControlPr xmlns="http://schemas.microsoft.com/office/spreadsheetml/2009/9/main" objectType="CheckBox" fmlaLink="計算シート!$B$4" lockText="1"/>
</file>

<file path=xl/ctrlProps/ctrlProp4.xml><?xml version="1.0" encoding="utf-8"?>
<formControlPr xmlns="http://schemas.microsoft.com/office/spreadsheetml/2009/9/main" objectType="CheckBox" fmlaLink="計算シート!$B$5" lockText="1"/>
</file>

<file path=xl/ctrlProps/ctrlProp5.xml><?xml version="1.0" encoding="utf-8"?>
<formControlPr xmlns="http://schemas.microsoft.com/office/spreadsheetml/2009/9/main" objectType="CheckBox" fmlaLink="計算シート!$B$6" lockText="1"/>
</file>

<file path=xl/ctrlProps/ctrlProp6.xml><?xml version="1.0" encoding="utf-8"?>
<formControlPr xmlns="http://schemas.microsoft.com/office/spreadsheetml/2009/9/main" objectType="CheckBox" fmlaLink="計算シート!$B$12" lockText="1"/>
</file>

<file path=xl/ctrlProps/ctrlProp7.xml><?xml version="1.0" encoding="utf-8"?>
<formControlPr xmlns="http://schemas.microsoft.com/office/spreadsheetml/2009/9/main" objectType="CheckBox" fmlaLink="計算シート!$B$11" lockText="1"/>
</file>

<file path=xl/ctrlProps/ctrlProp8.xml><?xml version="1.0" encoding="utf-8"?>
<formControlPr xmlns="http://schemas.microsoft.com/office/spreadsheetml/2009/9/main" objectType="CheckBox" fmlaLink="計算シート!$B$10" lockText="1"/>
</file>

<file path=xl/ctrlProps/ctrlProp9.xml><?xml version="1.0" encoding="utf-8"?>
<formControlPr xmlns="http://schemas.microsoft.com/office/spreadsheetml/2009/9/main" objectType="CheckBox" fmlaLink="計算シート!$B$9" lockText="1"/>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15</xdr:col>
      <xdr:colOff>171450</xdr:colOff>
      <xdr:row>14</xdr:row>
      <xdr:rowOff>57149</xdr:rowOff>
    </xdr:from>
    <xdr:to>
      <xdr:col>19</xdr:col>
      <xdr:colOff>68580</xdr:colOff>
      <xdr:row>18</xdr:row>
      <xdr:rowOff>215264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4277975" y="4743449"/>
          <a:ext cx="2640330" cy="1529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サービスを利用していない場合は，</a:t>
          </a:r>
          <a:endParaRPr kumimoji="1" lang="en-US" altLang="ja-JP" sz="1200"/>
        </a:p>
        <a:p>
          <a:r>
            <a:rPr kumimoji="1" lang="ja-JP" altLang="en-US" sz="1200"/>
            <a:t>何も入力する必要はありません。</a:t>
          </a:r>
        </a:p>
      </xdr:txBody>
    </xdr:sp>
    <xdr:clientData/>
  </xdr:twoCellAnchor>
  <xdr:twoCellAnchor>
    <xdr:from>
      <xdr:col>9</xdr:col>
      <xdr:colOff>552450</xdr:colOff>
      <xdr:row>28</xdr:row>
      <xdr:rowOff>19050</xdr:rowOff>
    </xdr:from>
    <xdr:to>
      <xdr:col>20</xdr:col>
      <xdr:colOff>142876</xdr:colOff>
      <xdr:row>30</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677275" y="9505950"/>
          <a:ext cx="9953626" cy="6667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（認定調査を行った月のサービス利用回数を記入。</a:t>
          </a:r>
          <a:endParaRPr kumimoji="1" lang="en-US" altLang="ja-JP" sz="1200"/>
        </a:p>
        <a:p>
          <a:pPr algn="l"/>
          <a:r>
            <a:rPr kumimoji="1" lang="ja-JP" altLang="en-US" sz="1200"/>
            <a:t>（介護予防）福祉用具貸与は調査時点の、特定（介護予防）福祉用具販売は過去６か月の品目数を記載。）</a:t>
          </a:r>
        </a:p>
      </xdr:txBody>
    </xdr:sp>
    <xdr:clientData/>
  </xdr:twoCellAnchor>
  <xdr:twoCellAnchor>
    <xdr:from>
      <xdr:col>14</xdr:col>
      <xdr:colOff>647700</xdr:colOff>
      <xdr:row>2</xdr:row>
      <xdr:rowOff>228600</xdr:rowOff>
    </xdr:from>
    <xdr:to>
      <xdr:col>21</xdr:col>
      <xdr:colOff>304800</xdr:colOff>
      <xdr:row>4</xdr:row>
      <xdr:rowOff>66675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068425" y="800100"/>
          <a:ext cx="4457700" cy="523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事業対象者は、「２：支援」を入力してください。</a:t>
          </a:r>
        </a:p>
      </xdr:txBody>
    </xdr:sp>
    <xdr:clientData/>
  </xdr:twoCellAnchor>
  <xdr:twoCellAnchor>
    <xdr:from>
      <xdr:col>14</xdr:col>
      <xdr:colOff>76200</xdr:colOff>
      <xdr:row>3</xdr:row>
      <xdr:rowOff>9525</xdr:rowOff>
    </xdr:from>
    <xdr:to>
      <xdr:col>14</xdr:col>
      <xdr:colOff>676275</xdr:colOff>
      <xdr:row>28</xdr:row>
      <xdr:rowOff>158750</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14011275" y="923925"/>
          <a:ext cx="600075" cy="8721725"/>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542925</xdr:colOff>
      <xdr:row>3</xdr:row>
      <xdr:rowOff>171450</xdr:rowOff>
    </xdr:from>
    <xdr:to>
      <xdr:col>21</xdr:col>
      <xdr:colOff>447675</xdr:colOff>
      <xdr:row>10</xdr:row>
      <xdr:rowOff>28574</xdr:rowOff>
    </xdr:to>
    <xdr:sp macro="" textlink="">
      <xdr:nvSpPr>
        <xdr:cNvPr id="7" name="角丸四角形 32">
          <a:extLst>
            <a:ext uri="{FF2B5EF4-FFF2-40B4-BE49-F238E27FC236}">
              <a16:creationId xmlns:a16="http://schemas.microsoft.com/office/drawing/2014/main" id="{00000000-0008-0000-0000-000007000000}"/>
            </a:ext>
          </a:extLst>
        </xdr:cNvPr>
        <xdr:cNvSpPr/>
      </xdr:nvSpPr>
      <xdr:spPr>
        <a:xfrm>
          <a:off x="14916150" y="1085850"/>
          <a:ext cx="4705350" cy="2257424"/>
        </a:xfrm>
        <a:prstGeom prst="roundRect">
          <a:avLst>
            <a:gd name="adj" fmla="val 9840"/>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▣現在状況（施設等）の選択の注意点</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a:t>
          </a:r>
          <a:r>
            <a:rPr kumimoji="1" lang="en-US" altLang="ja-JP" sz="1200">
              <a:solidFill>
                <a:srgbClr val="FF0000"/>
              </a:solidFill>
              <a:latin typeface="HGｺﾞｼｯｸM" panose="020B0609000000000000" pitchFamily="49" charset="-128"/>
              <a:ea typeface="HGｺﾞｼｯｸM" panose="020B0609000000000000" pitchFamily="49" charset="-128"/>
            </a:rPr>
            <a:t>11:</a:t>
          </a:r>
          <a:r>
            <a:rPr kumimoji="1" lang="ja-JP" altLang="en-US" sz="1200">
              <a:solidFill>
                <a:srgbClr val="FF0000"/>
              </a:solidFill>
              <a:latin typeface="HGｺﾞｼｯｸM" panose="020B0609000000000000" pitchFamily="49" charset="-128"/>
              <a:ea typeface="HGｺﾞｼｯｸM" panose="020B0609000000000000" pitchFamily="49" charset="-128"/>
            </a:rPr>
            <a:t>養護老人ホーム</a:t>
          </a:r>
          <a:r>
            <a:rPr kumimoji="1" lang="ja-JP" altLang="en-US" sz="1200" baseline="0">
              <a:solidFill>
                <a:srgbClr val="FF0000"/>
              </a:solidFill>
              <a:latin typeface="HGｺﾞｼｯｸM" panose="020B0609000000000000" pitchFamily="49" charset="-128"/>
              <a:ea typeface="HGｺﾞｼｯｸM" panose="020B0609000000000000" pitchFamily="49" charset="-128"/>
            </a:rPr>
            <a:t> </a:t>
          </a:r>
          <a:r>
            <a:rPr kumimoji="1" lang="en-US" altLang="ja-JP" sz="1200" u="sng" baseline="0">
              <a:solidFill>
                <a:srgbClr val="FF0000"/>
              </a:solidFill>
              <a:latin typeface="HGｺﾞｼｯｸM" panose="020B0609000000000000" pitchFamily="49" charset="-128"/>
              <a:ea typeface="HGｺﾞｼｯｸM" panose="020B0609000000000000" pitchFamily="49" charset="-128"/>
            </a:rPr>
            <a:t>※1</a:t>
          </a:r>
          <a:r>
            <a:rPr kumimoji="1" lang="ja-JP" altLang="en-US" sz="1200" baseline="0">
              <a:solidFill>
                <a:srgbClr val="FF0000"/>
              </a:solidFill>
              <a:latin typeface="HGｺﾞｼｯｸM" panose="020B0609000000000000" pitchFamily="49" charset="-128"/>
              <a:ea typeface="HGｺﾞｼｯｸM" panose="020B0609000000000000" pitchFamily="49" charset="-128"/>
            </a:rPr>
            <a:t>」</a:t>
          </a:r>
          <a:endParaRPr kumimoji="1" lang="en-US" altLang="ja-JP" sz="1200" baseline="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a:t>
          </a:r>
          <a:r>
            <a:rPr kumimoji="1" lang="en-US" altLang="ja-JP" sz="1200">
              <a:solidFill>
                <a:srgbClr val="FF0000"/>
              </a:solidFill>
              <a:latin typeface="HGｺﾞｼｯｸM" panose="020B0609000000000000" pitchFamily="49" charset="-128"/>
              <a:ea typeface="HGｺﾞｼｯｸM" panose="020B0609000000000000" pitchFamily="49" charset="-128"/>
            </a:rPr>
            <a:t>12:</a:t>
          </a:r>
          <a:r>
            <a:rPr kumimoji="1" lang="ja-JP" altLang="en-US" sz="1200">
              <a:solidFill>
                <a:srgbClr val="FF0000"/>
              </a:solidFill>
              <a:latin typeface="HGｺﾞｼｯｸM" panose="020B0609000000000000" pitchFamily="49" charset="-128"/>
              <a:ea typeface="HGｺﾞｼｯｸM" panose="020B0609000000000000" pitchFamily="49" charset="-128"/>
            </a:rPr>
            <a:t>軽費老人ホーム</a:t>
          </a:r>
          <a:r>
            <a:rPr kumimoji="1" lang="ja-JP" altLang="en-US" sz="1200" baseline="0">
              <a:solidFill>
                <a:srgbClr val="FF0000"/>
              </a:solidFill>
              <a:latin typeface="HGｺﾞｼｯｸM" panose="020B0609000000000000" pitchFamily="49" charset="-128"/>
              <a:ea typeface="HGｺﾞｼｯｸM" panose="020B0609000000000000" pitchFamily="49" charset="-128"/>
            </a:rPr>
            <a:t> </a:t>
          </a:r>
          <a:r>
            <a:rPr kumimoji="1" lang="en-US" altLang="ja-JP" sz="1200" u="sng" baseline="0">
              <a:solidFill>
                <a:srgbClr val="FF0000"/>
              </a:solidFill>
              <a:latin typeface="HGｺﾞｼｯｸM" panose="020B0609000000000000" pitchFamily="49" charset="-128"/>
              <a:ea typeface="HGｺﾞｼｯｸM" panose="020B0609000000000000" pitchFamily="49" charset="-128"/>
            </a:rPr>
            <a:t>※1</a:t>
          </a:r>
          <a:r>
            <a:rPr kumimoji="1" lang="ja-JP" altLang="en-US" sz="1200" baseline="0">
              <a:solidFill>
                <a:srgbClr val="FF0000"/>
              </a:solidFill>
              <a:latin typeface="HGｺﾞｼｯｸM" panose="020B0609000000000000" pitchFamily="49" charset="-128"/>
              <a:ea typeface="HGｺﾞｼｯｸM" panose="020B0609000000000000" pitchFamily="49" charset="-128"/>
            </a:rPr>
            <a:t>」</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a:t>
          </a:r>
          <a:r>
            <a:rPr kumimoji="1" lang="en-US" altLang="ja-JP" sz="1200">
              <a:solidFill>
                <a:srgbClr val="FF0000"/>
              </a:solidFill>
              <a:latin typeface="HGｺﾞｼｯｸM" panose="020B0609000000000000" pitchFamily="49" charset="-128"/>
              <a:ea typeface="HGｺﾞｼｯｸM" panose="020B0609000000000000" pitchFamily="49" charset="-128"/>
            </a:rPr>
            <a:t>13:</a:t>
          </a:r>
          <a:r>
            <a:rPr kumimoji="1" lang="ja-JP" altLang="en-US" sz="1200">
              <a:solidFill>
                <a:srgbClr val="FF0000"/>
              </a:solidFill>
              <a:latin typeface="HGｺﾞｼｯｸM" panose="020B0609000000000000" pitchFamily="49" charset="-128"/>
              <a:ea typeface="HGｺﾞｼｯｸM" panose="020B0609000000000000" pitchFamily="49" charset="-128"/>
            </a:rPr>
            <a:t>有料老人ホーム </a:t>
          </a:r>
          <a:r>
            <a:rPr kumimoji="1" lang="en-US" altLang="ja-JP" sz="1200" u="sng">
              <a:solidFill>
                <a:srgbClr val="FF0000"/>
              </a:solidFill>
              <a:latin typeface="HGｺﾞｼｯｸM" panose="020B0609000000000000" pitchFamily="49" charset="-128"/>
              <a:ea typeface="HGｺﾞｼｯｸM" panose="020B0609000000000000" pitchFamily="49" charset="-128"/>
            </a:rPr>
            <a:t>※1</a:t>
          </a:r>
          <a:r>
            <a:rPr kumimoji="1" lang="ja-JP" altLang="en-US" sz="1200" u="sng">
              <a:solidFill>
                <a:srgbClr val="FF0000"/>
              </a:solidFill>
              <a:latin typeface="HGｺﾞｼｯｸM" panose="020B0609000000000000" pitchFamily="49" charset="-128"/>
              <a:ea typeface="HGｺﾞｼｯｸM" panose="020B0609000000000000" pitchFamily="49" charset="-128"/>
            </a:rPr>
            <a:t>、</a:t>
          </a:r>
          <a:r>
            <a:rPr kumimoji="1" lang="en-US" altLang="ja-JP" sz="1200" u="sng">
              <a:solidFill>
                <a:srgbClr val="FF0000"/>
              </a:solidFill>
              <a:latin typeface="HGｺﾞｼｯｸM" panose="020B0609000000000000" pitchFamily="49" charset="-128"/>
              <a:ea typeface="HGｺﾞｼｯｸM" panose="020B0609000000000000" pitchFamily="49" charset="-128"/>
            </a:rPr>
            <a:t>2</a:t>
          </a:r>
          <a:r>
            <a:rPr kumimoji="1" lang="ja-JP" altLang="en-US" sz="1200">
              <a:solidFill>
                <a:srgbClr val="FF0000"/>
              </a:solidFill>
              <a:latin typeface="HGｺﾞｼｯｸM" panose="020B0609000000000000" pitchFamily="49" charset="-128"/>
              <a:ea typeface="HGｺﾞｼｯｸM" panose="020B0609000000000000" pitchFamily="49" charset="-128"/>
            </a:rPr>
            <a:t>」</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a:t>
          </a:r>
          <a:r>
            <a:rPr kumimoji="1" lang="en-US" altLang="ja-JP" sz="1200">
              <a:solidFill>
                <a:srgbClr val="FF0000"/>
              </a:solidFill>
              <a:latin typeface="HGｺﾞｼｯｸM" panose="020B0609000000000000" pitchFamily="49" charset="-128"/>
              <a:ea typeface="HGｺﾞｼｯｸM" panose="020B0609000000000000" pitchFamily="49" charset="-128"/>
            </a:rPr>
            <a:t>14:</a:t>
          </a:r>
          <a:r>
            <a:rPr kumimoji="1" lang="ja-JP" altLang="en-US" sz="1200">
              <a:solidFill>
                <a:srgbClr val="FF0000"/>
              </a:solidFill>
              <a:latin typeface="HGｺﾞｼｯｸM" panose="020B0609000000000000" pitchFamily="49" charset="-128"/>
              <a:ea typeface="HGｺﾞｼｯｸM" panose="020B0609000000000000" pitchFamily="49" charset="-128"/>
            </a:rPr>
            <a:t>サービス付き住宅 </a:t>
          </a:r>
          <a:r>
            <a:rPr kumimoji="1" lang="en-US" altLang="ja-JP" sz="1200" u="sng">
              <a:solidFill>
                <a:srgbClr val="FF0000"/>
              </a:solidFill>
              <a:latin typeface="HGｺﾞｼｯｸM" panose="020B0609000000000000" pitchFamily="49" charset="-128"/>
              <a:ea typeface="HGｺﾞｼｯｸM" panose="020B0609000000000000" pitchFamily="49" charset="-128"/>
            </a:rPr>
            <a:t>※1</a:t>
          </a:r>
          <a:r>
            <a:rPr kumimoji="1" lang="ja-JP" altLang="en-US" sz="1200">
              <a:solidFill>
                <a:srgbClr val="FF0000"/>
              </a:solidFill>
              <a:latin typeface="HGｺﾞｼｯｸM" panose="020B0609000000000000" pitchFamily="49" charset="-128"/>
              <a:ea typeface="HGｺﾞｼｯｸM" panose="020B0609000000000000" pitchFamily="49" charset="-128"/>
            </a:rPr>
            <a:t>」</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1200" u="sng">
              <a:solidFill>
                <a:srgbClr val="FF0000"/>
              </a:solidFill>
              <a:latin typeface="HGｺﾞｼｯｸM" panose="020B0609000000000000" pitchFamily="49" charset="-128"/>
              <a:ea typeface="HGｺﾞｼｯｸM" panose="020B0609000000000000" pitchFamily="49" charset="-128"/>
            </a:rPr>
            <a:t>※1</a:t>
          </a:r>
          <a:r>
            <a:rPr kumimoji="1" lang="ja-JP" altLang="en-US" sz="1200" u="sng">
              <a:solidFill>
                <a:srgbClr val="FF0000"/>
              </a:solidFill>
              <a:latin typeface="HGｺﾞｼｯｸM" panose="020B0609000000000000" pitchFamily="49" charset="-128"/>
              <a:ea typeface="HGｺﾞｼｯｸM" panose="020B0609000000000000" pitchFamily="49" charset="-128"/>
            </a:rPr>
            <a:t>　特定施設入居者生活介護適用施設を除く。</a:t>
          </a:r>
          <a:endParaRPr kumimoji="1" lang="en-US" altLang="ja-JP" sz="1200" u="sng">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1200" u="sng">
              <a:solidFill>
                <a:srgbClr val="FF0000"/>
              </a:solidFill>
              <a:latin typeface="HGｺﾞｼｯｸM" panose="020B0609000000000000" pitchFamily="49" charset="-128"/>
              <a:ea typeface="HGｺﾞｼｯｸM" panose="020B0609000000000000" pitchFamily="49" charset="-128"/>
            </a:rPr>
            <a:t>※2</a:t>
          </a:r>
          <a:r>
            <a:rPr kumimoji="1" lang="ja-JP" altLang="en-US" sz="1200" u="sng">
              <a:solidFill>
                <a:srgbClr val="FF0000"/>
              </a:solidFill>
              <a:latin typeface="HGｺﾞｼｯｸM" panose="020B0609000000000000" pitchFamily="49" charset="-128"/>
              <a:ea typeface="HGｺﾞｼｯｸM" panose="020B0609000000000000" pitchFamily="49" charset="-128"/>
            </a:rPr>
            <a:t>　サービス付き高齢者向け住宅の登録を受けている</a:t>
          </a:r>
          <a:endParaRPr kumimoji="1" lang="en-US" altLang="ja-JP" sz="1200"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ja-JP" altLang="en-US" sz="1200" baseline="0">
              <a:solidFill>
                <a:srgbClr val="FF0000"/>
              </a:solidFill>
              <a:latin typeface="HGｺﾞｼｯｸM" panose="020B0609000000000000" pitchFamily="49" charset="-128"/>
              <a:ea typeface="HGｺﾞｼｯｸM" panose="020B0609000000000000" pitchFamily="49" charset="-128"/>
            </a:rPr>
            <a:t> </a:t>
          </a:r>
          <a:r>
            <a:rPr kumimoji="1" lang="ja-JP" altLang="en-US" sz="1200" u="sng">
              <a:solidFill>
                <a:srgbClr val="FF0000"/>
              </a:solidFill>
              <a:latin typeface="HGｺﾞｼｯｸM" panose="020B0609000000000000" pitchFamily="49" charset="-128"/>
              <a:ea typeface="HGｺﾞｼｯｸM" panose="020B0609000000000000" pitchFamily="49" charset="-128"/>
            </a:rPr>
            <a:t>ものを除く。</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6</xdr:row>
          <xdr:rowOff>28575</xdr:rowOff>
        </xdr:from>
        <xdr:to>
          <xdr:col>1</xdr:col>
          <xdr:colOff>800100</xdr:colOff>
          <xdr:row>6</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28575</xdr:rowOff>
        </xdr:from>
        <xdr:to>
          <xdr:col>1</xdr:col>
          <xdr:colOff>800100</xdr:colOff>
          <xdr:row>7</xdr:row>
          <xdr:rowOff>180975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28575</xdr:rowOff>
        </xdr:from>
        <xdr:to>
          <xdr:col>1</xdr:col>
          <xdr:colOff>800100</xdr:colOff>
          <xdr:row>8</xdr:row>
          <xdr:rowOff>200025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38100</xdr:rowOff>
        </xdr:from>
        <xdr:to>
          <xdr:col>1</xdr:col>
          <xdr:colOff>800100</xdr:colOff>
          <xdr:row>9</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1</xdr:col>
          <xdr:colOff>800100</xdr:colOff>
          <xdr:row>10</xdr:row>
          <xdr:rowOff>200025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28575</xdr:rowOff>
        </xdr:from>
        <xdr:to>
          <xdr:col>1</xdr:col>
          <xdr:colOff>800100</xdr:colOff>
          <xdr:row>19</xdr:row>
          <xdr:rowOff>200025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28575</xdr:rowOff>
        </xdr:from>
        <xdr:to>
          <xdr:col>1</xdr:col>
          <xdr:colOff>800100</xdr:colOff>
          <xdr:row>18</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28575</xdr:rowOff>
        </xdr:from>
        <xdr:to>
          <xdr:col>1</xdr:col>
          <xdr:colOff>800100</xdr:colOff>
          <xdr:row>17</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38100</xdr:rowOff>
        </xdr:from>
        <xdr:to>
          <xdr:col>1</xdr:col>
          <xdr:colOff>800100</xdr:colOff>
          <xdr:row>16</xdr:row>
          <xdr:rowOff>209550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肩</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0</xdr:colOff>
      <xdr:row>5</xdr:row>
      <xdr:rowOff>0</xdr:rowOff>
    </xdr:from>
    <xdr:to>
      <xdr:col>18</xdr:col>
      <xdr:colOff>657225</xdr:colOff>
      <xdr:row>12</xdr:row>
      <xdr:rowOff>333375</xdr:rowOff>
    </xdr:to>
    <xdr:sp macro="" textlink="">
      <xdr:nvSpPr>
        <xdr:cNvPr id="2" name="角丸四角形 3">
          <a:extLst>
            <a:ext uri="{FF2B5EF4-FFF2-40B4-BE49-F238E27FC236}">
              <a16:creationId xmlns:a16="http://schemas.microsoft.com/office/drawing/2014/main" id="{00000000-0008-0000-0200-000002000000}"/>
            </a:ext>
          </a:extLst>
        </xdr:cNvPr>
        <xdr:cNvSpPr/>
      </xdr:nvSpPr>
      <xdr:spPr>
        <a:xfrm>
          <a:off x="6953250" y="1304925"/>
          <a:ext cx="5457825" cy="2352675"/>
        </a:xfrm>
        <a:prstGeom prst="roundRect">
          <a:avLst>
            <a:gd name="adj" fmla="val 11695"/>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en-US" sz="1400"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「見守り等」の定義の確認！（テキスト</a:t>
          </a:r>
          <a:r>
            <a:rPr lang="en-US" altLang="ja-JP" sz="1400"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P70</a:t>
          </a:r>
          <a:r>
            <a:rPr lang="ja-JP" altLang="en-US" sz="1400"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400"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73</a:t>
          </a:r>
          <a:r>
            <a:rPr lang="ja-JP" altLang="en-US" sz="1400"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endParaRPr lang="en-US" altLang="ja-JP" sz="1400"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・「移乗」、「移動」の介護は行われていないが、　「見守り等」が行われ</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ている場合をいう。</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・ここでいう「見守り等」とは、常時の付き添いの必要がある「見守り」や、</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認知症高齢者等の場合に必要な行為の「確認」「指示」「こえかけ」</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等のことである。</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0</xdr:colOff>
      <xdr:row>32</xdr:row>
      <xdr:rowOff>0</xdr:rowOff>
    </xdr:from>
    <xdr:to>
      <xdr:col>18</xdr:col>
      <xdr:colOff>647699</xdr:colOff>
      <xdr:row>38</xdr:row>
      <xdr:rowOff>161924</xdr:rowOff>
    </xdr:to>
    <xdr:sp macro="" textlink="">
      <xdr:nvSpPr>
        <xdr:cNvPr id="3" name="角丸四角形 4">
          <a:extLst>
            <a:ext uri="{FF2B5EF4-FFF2-40B4-BE49-F238E27FC236}">
              <a16:creationId xmlns:a16="http://schemas.microsoft.com/office/drawing/2014/main" id="{00000000-0008-0000-0200-000003000000}"/>
            </a:ext>
          </a:extLst>
        </xdr:cNvPr>
        <xdr:cNvSpPr/>
      </xdr:nvSpPr>
      <xdr:spPr>
        <a:xfrm>
          <a:off x="6953250" y="9420225"/>
          <a:ext cx="5448299" cy="1933574"/>
        </a:xfrm>
        <a:prstGeom prst="roundRect">
          <a:avLst>
            <a:gd name="adj" fmla="val 11695"/>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en-US"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介助の手間や、介助で摂取する食事の割合と自力摂取する割合などを</a:t>
          </a:r>
          <a:r>
            <a:rPr lang="ja-JP" altLang="en-US" sz="1400"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具体的に記載</a:t>
          </a:r>
          <a:r>
            <a:rPr lang="ja-JP" altLang="en-US"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してくだい。</a:t>
          </a:r>
          <a:endParaRPr lang="en-US" altLang="ja-JP"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＜「一部介助」の例＞</a:t>
          </a:r>
          <a:endParaRPr lang="en-US" altLang="ja-JP"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・最初の数口は自分で摂取するが、残りはすべて介助を行っている。</a:t>
          </a:r>
          <a:endParaRPr lang="en-US" altLang="ja-JP"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・ほとんど自分で摂取するが、器の隅に残ったものは介護者がスプーン</a:t>
          </a:r>
          <a:endParaRPr lang="en-US" altLang="ja-JP"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en-US" altLang="ja-JP"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ですくって食べさせている。</a:t>
          </a:r>
          <a:endParaRPr lang="en-US" altLang="ja-JP" sz="1400"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0</xdr:colOff>
      <xdr:row>40</xdr:row>
      <xdr:rowOff>342899</xdr:rowOff>
    </xdr:from>
    <xdr:to>
      <xdr:col>18</xdr:col>
      <xdr:colOff>647700</xdr:colOff>
      <xdr:row>51</xdr:row>
      <xdr:rowOff>276224</xdr:rowOff>
    </xdr:to>
    <xdr:sp macro="" textlink="">
      <xdr:nvSpPr>
        <xdr:cNvPr id="4" name="角丸四角形 1">
          <a:extLst>
            <a:ext uri="{FF2B5EF4-FFF2-40B4-BE49-F238E27FC236}">
              <a16:creationId xmlns:a16="http://schemas.microsoft.com/office/drawing/2014/main" id="{00000000-0008-0000-0200-000004000000}"/>
            </a:ext>
          </a:extLst>
        </xdr:cNvPr>
        <xdr:cNvSpPr/>
      </xdr:nvSpPr>
      <xdr:spPr>
        <a:xfrm>
          <a:off x="6953250" y="12125324"/>
          <a:ext cx="5448300" cy="3324225"/>
        </a:xfrm>
        <a:prstGeom prst="roundRect">
          <a:avLst>
            <a:gd name="adj" fmla="val 11695"/>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排尿・排便は、実際の介護において「個人差」があり、また、日中の中で</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「何度も発生する介助」</a:t>
          </a:r>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のため、以下の</a:t>
          </a:r>
          <a:r>
            <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4</a:t>
          </a:r>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点に注意しながら特記事項を</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記載してください。</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➀</a:t>
          </a:r>
          <a:r>
            <a:rPr lang="ja-JP" altLang="en-US"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排泄</a:t>
          </a:r>
          <a:r>
            <a:rPr lang="ja-JP" altLang="ja-JP"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方法</a:t>
          </a:r>
          <a:r>
            <a:rPr lang="ja-JP" altLang="en-US"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（トイレ・ポータブルトイレ・おむつ等）</a:t>
          </a:r>
          <a:r>
            <a:rPr lang="en-US" altLang="ja-JP"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4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②頻度</a:t>
          </a:r>
          <a:endParaRPr lang="en-US" altLang="ja-JP"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400" b="1" u="none"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400" b="0" u="none"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4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③失敗の有無と介護</a:t>
          </a:r>
          <a:r>
            <a:rPr lang="ja-JP" altLang="en-US"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の手間</a:t>
          </a:r>
          <a:endPar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◇介助の方法や状況が時間帯で異なる場合は、</a:t>
          </a:r>
          <a:r>
            <a:rPr lang="ja-JP" altLang="ja-JP"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④昼夜の違い</a:t>
          </a:r>
          <a:endParaRPr lang="en-US" altLang="ja-JP" sz="1400" b="1" u="sng">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en-US" altLang="ja-JP" sz="1400" b="1" u="non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も記載</a:t>
          </a:r>
        </a:p>
        <a:p>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4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要介護者においては、「活動時間帯（日中・夕方）」と「就寝時</a:t>
          </a:r>
          <a:endPar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en-US"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夜間・深夜）」で排泄の状況が異なる場合がある。</a:t>
          </a:r>
        </a:p>
        <a:p>
          <a:endParaRPr lang="ja-JP" altLang="en-US" sz="14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7</xdr:row>
          <xdr:rowOff>190500</xdr:rowOff>
        </xdr:from>
        <xdr:to>
          <xdr:col>1</xdr:col>
          <xdr:colOff>552450</xdr:colOff>
          <xdr:row>9</xdr:row>
          <xdr:rowOff>85725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180975</xdr:rowOff>
        </xdr:from>
        <xdr:to>
          <xdr:col>1</xdr:col>
          <xdr:colOff>552450</xdr:colOff>
          <xdr:row>18</xdr:row>
          <xdr:rowOff>76200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25</xdr:row>
          <xdr:rowOff>171450</xdr:rowOff>
        </xdr:from>
        <xdr:to>
          <xdr:col>1</xdr:col>
          <xdr:colOff>552450</xdr:colOff>
          <xdr:row>27</xdr:row>
          <xdr:rowOff>66675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34</xdr:row>
          <xdr:rowOff>171450</xdr:rowOff>
        </xdr:from>
        <xdr:to>
          <xdr:col>1</xdr:col>
          <xdr:colOff>552450</xdr:colOff>
          <xdr:row>36</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43</xdr:row>
          <xdr:rowOff>180975</xdr:rowOff>
        </xdr:from>
        <xdr:to>
          <xdr:col>1</xdr:col>
          <xdr:colOff>552450</xdr:colOff>
          <xdr:row>45</xdr:row>
          <xdr:rowOff>76200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52</xdr:row>
          <xdr:rowOff>171450</xdr:rowOff>
        </xdr:from>
        <xdr:to>
          <xdr:col>1</xdr:col>
          <xdr:colOff>552450</xdr:colOff>
          <xdr:row>54</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61</xdr:row>
          <xdr:rowOff>152400</xdr:rowOff>
        </xdr:from>
        <xdr:to>
          <xdr:col>1</xdr:col>
          <xdr:colOff>552450</xdr:colOff>
          <xdr:row>63</xdr:row>
          <xdr:rowOff>47625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70</xdr:row>
          <xdr:rowOff>171450</xdr:rowOff>
        </xdr:from>
        <xdr:to>
          <xdr:col>1</xdr:col>
          <xdr:colOff>552450</xdr:colOff>
          <xdr:row>72</xdr:row>
          <xdr:rowOff>66675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79</xdr:row>
          <xdr:rowOff>190500</xdr:rowOff>
        </xdr:from>
        <xdr:to>
          <xdr:col>1</xdr:col>
          <xdr:colOff>552450</xdr:colOff>
          <xdr:row>81</xdr:row>
          <xdr:rowOff>85725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88</xdr:row>
          <xdr:rowOff>190500</xdr:rowOff>
        </xdr:from>
        <xdr:to>
          <xdr:col>1</xdr:col>
          <xdr:colOff>552450</xdr:colOff>
          <xdr:row>90</xdr:row>
          <xdr:rowOff>85725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171450</xdr:rowOff>
        </xdr:from>
        <xdr:to>
          <xdr:col>1</xdr:col>
          <xdr:colOff>552450</xdr:colOff>
          <xdr:row>99</xdr:row>
          <xdr:rowOff>57150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106</xdr:row>
          <xdr:rowOff>190500</xdr:rowOff>
        </xdr:from>
        <xdr:to>
          <xdr:col>1</xdr:col>
          <xdr:colOff>552450</xdr:colOff>
          <xdr:row>108</xdr:row>
          <xdr:rowOff>85725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523875</xdr:colOff>
      <xdr:row>0</xdr:row>
      <xdr:rowOff>95250</xdr:rowOff>
    </xdr:from>
    <xdr:to>
      <xdr:col>18</xdr:col>
      <xdr:colOff>297180</xdr:colOff>
      <xdr:row>5</xdr:row>
      <xdr:rowOff>152400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523875" y="95250"/>
          <a:ext cx="10883265" cy="84201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11</xdr:row>
      <xdr:rowOff>76201</xdr:rowOff>
    </xdr:from>
    <xdr:to>
      <xdr:col>18</xdr:col>
      <xdr:colOff>274320</xdr:colOff>
      <xdr:row>18</xdr:row>
      <xdr:rowOff>123826</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523875" y="1866901"/>
          <a:ext cx="10860405" cy="12515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133350</xdr:colOff>
      <xdr:row>6</xdr:row>
      <xdr:rowOff>57150</xdr:rowOff>
    </xdr:from>
    <xdr:to>
      <xdr:col>10</xdr:col>
      <xdr:colOff>85725</xdr:colOff>
      <xdr:row>10</xdr:row>
      <xdr:rowOff>133350</xdr:rowOff>
    </xdr:to>
    <xdr:sp macro="" textlink="">
      <xdr:nvSpPr>
        <xdr:cNvPr id="4" name="下矢印 3">
          <a:extLst>
            <a:ext uri="{FF2B5EF4-FFF2-40B4-BE49-F238E27FC236}">
              <a16:creationId xmlns:a16="http://schemas.microsoft.com/office/drawing/2014/main" id="{00000000-0008-0000-0900-000004000000}"/>
            </a:ext>
          </a:extLst>
        </xdr:cNvPr>
        <xdr:cNvSpPr/>
      </xdr:nvSpPr>
      <xdr:spPr>
        <a:xfrm>
          <a:off x="5619750" y="1038225"/>
          <a:ext cx="1323975" cy="762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133350</xdr:colOff>
      <xdr:row>19</xdr:row>
      <xdr:rowOff>28575</xdr:rowOff>
    </xdr:from>
    <xdr:to>
      <xdr:col>10</xdr:col>
      <xdr:colOff>85725</xdr:colOff>
      <xdr:row>23</xdr:row>
      <xdr:rowOff>104775</xdr:rowOff>
    </xdr:to>
    <xdr:sp macro="" textlink="">
      <xdr:nvSpPr>
        <xdr:cNvPr id="7" name="下矢印 6">
          <a:extLst>
            <a:ext uri="{FF2B5EF4-FFF2-40B4-BE49-F238E27FC236}">
              <a16:creationId xmlns:a16="http://schemas.microsoft.com/office/drawing/2014/main" id="{00000000-0008-0000-0900-000007000000}"/>
            </a:ext>
          </a:extLst>
        </xdr:cNvPr>
        <xdr:cNvSpPr/>
      </xdr:nvSpPr>
      <xdr:spPr>
        <a:xfrm>
          <a:off x="5619750" y="3286125"/>
          <a:ext cx="1323975" cy="762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23</xdr:row>
      <xdr:rowOff>133351</xdr:rowOff>
    </xdr:from>
    <xdr:to>
      <xdr:col>18</xdr:col>
      <xdr:colOff>243840</xdr:colOff>
      <xdr:row>29</xdr:row>
      <xdr:rowOff>104776</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523875" y="3966211"/>
          <a:ext cx="10829925" cy="10229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73270</xdr:colOff>
      <xdr:row>1</xdr:row>
      <xdr:rowOff>163756</xdr:rowOff>
    </xdr:from>
    <xdr:to>
      <xdr:col>10</xdr:col>
      <xdr:colOff>679530</xdr:colOff>
      <xdr:row>195</xdr:row>
      <xdr:rowOff>152402</xdr:rowOff>
    </xdr:to>
    <xdr:grpSp>
      <xdr:nvGrpSpPr>
        <xdr:cNvPr id="83" name="グループ化 82">
          <a:extLst>
            <a:ext uri="{FF2B5EF4-FFF2-40B4-BE49-F238E27FC236}">
              <a16:creationId xmlns:a16="http://schemas.microsoft.com/office/drawing/2014/main" id="{00000000-0008-0000-0A00-000053000000}"/>
            </a:ext>
          </a:extLst>
        </xdr:cNvPr>
        <xdr:cNvGrpSpPr/>
      </xdr:nvGrpSpPr>
      <xdr:grpSpPr>
        <a:xfrm>
          <a:off x="73270" y="335206"/>
          <a:ext cx="7464260" cy="33249946"/>
          <a:chOff x="73270" y="335206"/>
          <a:chExt cx="7464260" cy="33249946"/>
        </a:xfrm>
      </xdr:grpSpPr>
      <xdr:grpSp>
        <xdr:nvGrpSpPr>
          <xdr:cNvPr id="39" name="グループ化 38">
            <a:extLst>
              <a:ext uri="{FF2B5EF4-FFF2-40B4-BE49-F238E27FC236}">
                <a16:creationId xmlns:a16="http://schemas.microsoft.com/office/drawing/2014/main" id="{00000000-0008-0000-0A00-000027000000}"/>
              </a:ext>
            </a:extLst>
          </xdr:cNvPr>
          <xdr:cNvGrpSpPr/>
        </xdr:nvGrpSpPr>
        <xdr:grpSpPr>
          <a:xfrm>
            <a:off x="142875" y="11644320"/>
            <a:ext cx="7373625" cy="10360725"/>
            <a:chOff x="142875" y="11644320"/>
            <a:chExt cx="7373625" cy="10360725"/>
          </a:xfrm>
        </xdr:grpSpPr>
        <xdr:pic>
          <xdr:nvPicPr>
            <xdr:cNvPr id="106" name="Picture 2">
              <a:extLst>
                <a:ext uri="{FF2B5EF4-FFF2-40B4-BE49-F238E27FC236}">
                  <a16:creationId xmlns:a16="http://schemas.microsoft.com/office/drawing/2014/main" id="{00000000-0008-0000-0A00-00006A000000}"/>
                </a:ext>
              </a:extLst>
            </xdr:cNvPr>
            <xdr:cNvPicPr>
              <a:picLocks noChangeArrowheads="1"/>
            </xdr:cNvPicPr>
          </xdr:nvPicPr>
          <xdr:blipFill>
            <a:blip xmlns:r="http://schemas.openxmlformats.org/officeDocument/2006/relationships" r:embed="rId1" cstate="print"/>
            <a:srcRect/>
            <a:stretch>
              <a:fillRect/>
            </a:stretch>
          </xdr:blipFill>
          <xdr:spPr bwMode="auto">
            <a:xfrm>
              <a:off x="142875" y="11644320"/>
              <a:ext cx="7373625" cy="10360725"/>
            </a:xfrm>
            <a:prstGeom prst="rect">
              <a:avLst/>
            </a:prstGeom>
            <a:noFill/>
            <a:ln w="1">
              <a:noFill/>
              <a:miter lim="800000"/>
              <a:headEnd/>
              <a:tailEnd type="none" w="med" len="med"/>
            </a:ln>
            <a:effectLst/>
          </xdr:spPr>
        </xdr:pic>
        <xdr:sp macro="" textlink="計算シート!H10">
          <xdr:nvSpPr>
            <xdr:cNvPr id="109" name="テキスト ボックス 108">
              <a:extLst>
                <a:ext uri="{FF2B5EF4-FFF2-40B4-BE49-F238E27FC236}">
                  <a16:creationId xmlns:a16="http://schemas.microsoft.com/office/drawing/2014/main" id="{00000000-0008-0000-0A00-00006D000000}"/>
                </a:ext>
              </a:extLst>
            </xdr:cNvPr>
            <xdr:cNvSpPr txBox="1"/>
          </xdr:nvSpPr>
          <xdr:spPr>
            <a:xfrm>
              <a:off x="1043107" y="13071605"/>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AA2B487B-C72E-4347-B428-6F18DF918FD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0">
          <xdr:nvSpPr>
            <xdr:cNvPr id="110" name="テキスト ボックス 109">
              <a:extLst>
                <a:ext uri="{FF2B5EF4-FFF2-40B4-BE49-F238E27FC236}">
                  <a16:creationId xmlns:a16="http://schemas.microsoft.com/office/drawing/2014/main" id="{00000000-0008-0000-0A00-00006E000000}"/>
                </a:ext>
              </a:extLst>
            </xdr:cNvPr>
            <xdr:cNvSpPr txBox="1"/>
          </xdr:nvSpPr>
          <xdr:spPr>
            <a:xfrm>
              <a:off x="1670169" y="13071605"/>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6BA0221-DA1A-4CCC-9086-55872EDC3F4E}"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0">
          <xdr:nvSpPr>
            <xdr:cNvPr id="111" name="テキスト ボックス 110">
              <a:extLst>
                <a:ext uri="{FF2B5EF4-FFF2-40B4-BE49-F238E27FC236}">
                  <a16:creationId xmlns:a16="http://schemas.microsoft.com/office/drawing/2014/main" id="{00000000-0008-0000-0A00-00006F000000}"/>
                </a:ext>
              </a:extLst>
            </xdr:cNvPr>
            <xdr:cNvSpPr txBox="1"/>
          </xdr:nvSpPr>
          <xdr:spPr>
            <a:xfrm>
              <a:off x="2408356" y="13071605"/>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0178EBC-7002-4FB1-A417-5E86306731D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1">
          <xdr:nvSpPr>
            <xdr:cNvPr id="112" name="テキスト ボックス 111">
              <a:extLst>
                <a:ext uri="{FF2B5EF4-FFF2-40B4-BE49-F238E27FC236}">
                  <a16:creationId xmlns:a16="http://schemas.microsoft.com/office/drawing/2014/main" id="{00000000-0008-0000-0A00-000070000000}"/>
                </a:ext>
              </a:extLst>
            </xdr:cNvPr>
            <xdr:cNvSpPr txBox="1"/>
          </xdr:nvSpPr>
          <xdr:spPr>
            <a:xfrm>
              <a:off x="1043106" y="13436730"/>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0CF9C8E-0E7D-444E-8D30-3D5B3D3C1BF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1">
          <xdr:nvSpPr>
            <xdr:cNvPr id="113" name="テキスト ボックス 112">
              <a:extLst>
                <a:ext uri="{FF2B5EF4-FFF2-40B4-BE49-F238E27FC236}">
                  <a16:creationId xmlns:a16="http://schemas.microsoft.com/office/drawing/2014/main" id="{00000000-0008-0000-0A00-000071000000}"/>
                </a:ext>
              </a:extLst>
            </xdr:cNvPr>
            <xdr:cNvSpPr txBox="1"/>
          </xdr:nvSpPr>
          <xdr:spPr>
            <a:xfrm>
              <a:off x="1670168" y="13436730"/>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A42A37C-CECE-46BE-A23D-ED54968B40C0}"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1">
          <xdr:nvSpPr>
            <xdr:cNvPr id="114" name="テキスト ボックス 113">
              <a:extLst>
                <a:ext uri="{FF2B5EF4-FFF2-40B4-BE49-F238E27FC236}">
                  <a16:creationId xmlns:a16="http://schemas.microsoft.com/office/drawing/2014/main" id="{00000000-0008-0000-0A00-000072000000}"/>
                </a:ext>
              </a:extLst>
            </xdr:cNvPr>
            <xdr:cNvSpPr txBox="1"/>
          </xdr:nvSpPr>
          <xdr:spPr>
            <a:xfrm>
              <a:off x="2408355" y="13436730"/>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26D4CD0-4665-4686-AEA1-F6CCBD13DD21}"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2">
          <xdr:nvSpPr>
            <xdr:cNvPr id="115" name="テキスト ボックス 114">
              <a:extLst>
                <a:ext uri="{FF2B5EF4-FFF2-40B4-BE49-F238E27FC236}">
                  <a16:creationId xmlns:a16="http://schemas.microsoft.com/office/drawing/2014/main" id="{00000000-0008-0000-0A00-000073000000}"/>
                </a:ext>
              </a:extLst>
            </xdr:cNvPr>
            <xdr:cNvSpPr txBox="1"/>
          </xdr:nvSpPr>
          <xdr:spPr>
            <a:xfrm>
              <a:off x="1043106" y="1380185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E38DECD-83AD-4D31-9283-991EB4302762}"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2">
          <xdr:nvSpPr>
            <xdr:cNvPr id="116" name="テキスト ボックス 115">
              <a:extLst>
                <a:ext uri="{FF2B5EF4-FFF2-40B4-BE49-F238E27FC236}">
                  <a16:creationId xmlns:a16="http://schemas.microsoft.com/office/drawing/2014/main" id="{00000000-0008-0000-0A00-000074000000}"/>
                </a:ext>
              </a:extLst>
            </xdr:cNvPr>
            <xdr:cNvSpPr txBox="1"/>
          </xdr:nvSpPr>
          <xdr:spPr>
            <a:xfrm>
              <a:off x="1670168" y="1380185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6C99469-0940-421A-A4B1-26886C2D0CA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2">
          <xdr:nvSpPr>
            <xdr:cNvPr id="117" name="テキスト ボックス 116">
              <a:extLst>
                <a:ext uri="{FF2B5EF4-FFF2-40B4-BE49-F238E27FC236}">
                  <a16:creationId xmlns:a16="http://schemas.microsoft.com/office/drawing/2014/main" id="{00000000-0008-0000-0A00-000075000000}"/>
                </a:ext>
              </a:extLst>
            </xdr:cNvPr>
            <xdr:cNvSpPr txBox="1"/>
          </xdr:nvSpPr>
          <xdr:spPr>
            <a:xfrm>
              <a:off x="2408355" y="1380185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9B11521D-6458-4F80-AD36-52BCE4E2858A}"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4">
          <xdr:nvSpPr>
            <xdr:cNvPr id="118" name="テキスト ボックス 117">
              <a:extLst>
                <a:ext uri="{FF2B5EF4-FFF2-40B4-BE49-F238E27FC236}">
                  <a16:creationId xmlns:a16="http://schemas.microsoft.com/office/drawing/2014/main" id="{00000000-0008-0000-0A00-000076000000}"/>
                </a:ext>
              </a:extLst>
            </xdr:cNvPr>
            <xdr:cNvSpPr txBox="1"/>
          </xdr:nvSpPr>
          <xdr:spPr>
            <a:xfrm>
              <a:off x="4646729" y="13436730"/>
              <a:ext cx="227013"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A193552-1478-430C-BA29-85F40CC4E3C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4">
          <xdr:nvSpPr>
            <xdr:cNvPr id="119" name="テキスト ボックス 118">
              <a:extLst>
                <a:ext uri="{FF2B5EF4-FFF2-40B4-BE49-F238E27FC236}">
                  <a16:creationId xmlns:a16="http://schemas.microsoft.com/office/drawing/2014/main" id="{00000000-0008-0000-0A00-000077000000}"/>
                </a:ext>
              </a:extLst>
            </xdr:cNvPr>
            <xdr:cNvSpPr txBox="1"/>
          </xdr:nvSpPr>
          <xdr:spPr>
            <a:xfrm>
              <a:off x="5265854" y="13436730"/>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9725964-E2F3-4D86-A48B-3B27ACC5149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4">
          <xdr:nvSpPr>
            <xdr:cNvPr id="120" name="テキスト ボックス 119">
              <a:extLst>
                <a:ext uri="{FF2B5EF4-FFF2-40B4-BE49-F238E27FC236}">
                  <a16:creationId xmlns:a16="http://schemas.microsoft.com/office/drawing/2014/main" id="{00000000-0008-0000-0A00-000078000000}"/>
                </a:ext>
              </a:extLst>
            </xdr:cNvPr>
            <xdr:cNvSpPr txBox="1"/>
          </xdr:nvSpPr>
          <xdr:spPr>
            <a:xfrm>
              <a:off x="6004040" y="13436730"/>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A840589-47BE-4064-834A-26F032FC1D0A}"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3">
          <xdr:nvSpPr>
            <xdr:cNvPr id="121" name="テキスト ボックス 120">
              <a:extLst>
                <a:ext uri="{FF2B5EF4-FFF2-40B4-BE49-F238E27FC236}">
                  <a16:creationId xmlns:a16="http://schemas.microsoft.com/office/drawing/2014/main" id="{00000000-0008-0000-0A00-000079000000}"/>
                </a:ext>
              </a:extLst>
            </xdr:cNvPr>
            <xdr:cNvSpPr txBox="1"/>
          </xdr:nvSpPr>
          <xdr:spPr>
            <a:xfrm>
              <a:off x="4646728" y="13055731"/>
              <a:ext cx="227013"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14AB33C-149B-46FE-AA18-AD8917414898}"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3">
          <xdr:nvSpPr>
            <xdr:cNvPr id="122" name="テキスト ボックス 121">
              <a:extLst>
                <a:ext uri="{FF2B5EF4-FFF2-40B4-BE49-F238E27FC236}">
                  <a16:creationId xmlns:a16="http://schemas.microsoft.com/office/drawing/2014/main" id="{00000000-0008-0000-0A00-00007A000000}"/>
                </a:ext>
              </a:extLst>
            </xdr:cNvPr>
            <xdr:cNvSpPr txBox="1"/>
          </xdr:nvSpPr>
          <xdr:spPr>
            <a:xfrm>
              <a:off x="5265853" y="13055731"/>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253FE5B-FA78-4B41-8848-234F4EBEE947}"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3">
          <xdr:nvSpPr>
            <xdr:cNvPr id="123" name="テキスト ボックス 122">
              <a:extLst>
                <a:ext uri="{FF2B5EF4-FFF2-40B4-BE49-F238E27FC236}">
                  <a16:creationId xmlns:a16="http://schemas.microsoft.com/office/drawing/2014/main" id="{00000000-0008-0000-0A00-00007B000000}"/>
                </a:ext>
              </a:extLst>
            </xdr:cNvPr>
            <xdr:cNvSpPr txBox="1"/>
          </xdr:nvSpPr>
          <xdr:spPr>
            <a:xfrm>
              <a:off x="6004039" y="13055731"/>
              <a:ext cx="219075"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18D22DB-E500-4784-83A6-0DD4024F8A9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13">
          <xdr:nvSpPr>
            <xdr:cNvPr id="124" name="テキスト ボックス 123">
              <a:extLst>
                <a:ext uri="{FF2B5EF4-FFF2-40B4-BE49-F238E27FC236}">
                  <a16:creationId xmlns:a16="http://schemas.microsoft.com/office/drawing/2014/main" id="{00000000-0008-0000-0A00-00007C000000}"/>
                </a:ext>
              </a:extLst>
            </xdr:cNvPr>
            <xdr:cNvSpPr txBox="1"/>
          </xdr:nvSpPr>
          <xdr:spPr>
            <a:xfrm>
              <a:off x="6710477" y="13055731"/>
              <a:ext cx="227012" cy="24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1B762EB-E0B3-4E7C-944D-1EA71888A72D}"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5">
          <xdr:nvSpPr>
            <xdr:cNvPr id="125" name="テキスト ボックス 124">
              <a:extLst>
                <a:ext uri="{FF2B5EF4-FFF2-40B4-BE49-F238E27FC236}">
                  <a16:creationId xmlns:a16="http://schemas.microsoft.com/office/drawing/2014/main" id="{00000000-0008-0000-0A00-00007D000000}"/>
                </a:ext>
              </a:extLst>
            </xdr:cNvPr>
            <xdr:cNvSpPr txBox="1"/>
          </xdr:nvSpPr>
          <xdr:spPr>
            <a:xfrm>
              <a:off x="1043106" y="14174918"/>
              <a:ext cx="219075"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D3B0D93-9FB8-4E49-9567-6BB173EE1F38}"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5">
          <xdr:nvSpPr>
            <xdr:cNvPr id="126" name="テキスト ボックス 125">
              <a:extLst>
                <a:ext uri="{FF2B5EF4-FFF2-40B4-BE49-F238E27FC236}">
                  <a16:creationId xmlns:a16="http://schemas.microsoft.com/office/drawing/2014/main" id="{00000000-0008-0000-0A00-00007E000000}"/>
                </a:ext>
              </a:extLst>
            </xdr:cNvPr>
            <xdr:cNvSpPr txBox="1"/>
          </xdr:nvSpPr>
          <xdr:spPr>
            <a:xfrm>
              <a:off x="1670168" y="14174918"/>
              <a:ext cx="219075"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F83BC93-6B2D-4D1D-A8E9-70DECBABD1E5}"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5">
          <xdr:nvSpPr>
            <xdr:cNvPr id="127" name="テキスト ボックス 126">
              <a:extLst>
                <a:ext uri="{FF2B5EF4-FFF2-40B4-BE49-F238E27FC236}">
                  <a16:creationId xmlns:a16="http://schemas.microsoft.com/office/drawing/2014/main" id="{00000000-0008-0000-0A00-00007F000000}"/>
                </a:ext>
              </a:extLst>
            </xdr:cNvPr>
            <xdr:cNvSpPr txBox="1"/>
          </xdr:nvSpPr>
          <xdr:spPr>
            <a:xfrm>
              <a:off x="2408355" y="14174918"/>
              <a:ext cx="219075"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299A4740-932C-4C08-91BA-29C469A2F28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15">
          <xdr:nvSpPr>
            <xdr:cNvPr id="128" name="テキスト ボックス 127">
              <a:extLst>
                <a:ext uri="{FF2B5EF4-FFF2-40B4-BE49-F238E27FC236}">
                  <a16:creationId xmlns:a16="http://schemas.microsoft.com/office/drawing/2014/main" id="{00000000-0008-0000-0A00-000080000000}"/>
                </a:ext>
              </a:extLst>
            </xdr:cNvPr>
            <xdr:cNvSpPr txBox="1"/>
          </xdr:nvSpPr>
          <xdr:spPr>
            <a:xfrm>
              <a:off x="3202104" y="14174918"/>
              <a:ext cx="219075"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B374637A-AAA2-4C4A-97FC-4FF4C2628AAE}"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L15">
          <xdr:nvSpPr>
            <xdr:cNvPr id="129" name="テキスト ボックス 128">
              <a:extLst>
                <a:ext uri="{FF2B5EF4-FFF2-40B4-BE49-F238E27FC236}">
                  <a16:creationId xmlns:a16="http://schemas.microsoft.com/office/drawing/2014/main" id="{00000000-0008-0000-0A00-000081000000}"/>
                </a:ext>
              </a:extLst>
            </xdr:cNvPr>
            <xdr:cNvSpPr txBox="1"/>
          </xdr:nvSpPr>
          <xdr:spPr>
            <a:xfrm>
              <a:off x="3979979" y="14174918"/>
              <a:ext cx="227012"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CB5D9AB-B05D-4FF8-B0CD-A87D6E4705DE}"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6">
          <xdr:nvSpPr>
            <xdr:cNvPr id="130" name="テキスト ボックス 129">
              <a:extLst>
                <a:ext uri="{FF2B5EF4-FFF2-40B4-BE49-F238E27FC236}">
                  <a16:creationId xmlns:a16="http://schemas.microsoft.com/office/drawing/2014/main" id="{00000000-0008-0000-0A00-000082000000}"/>
                </a:ext>
              </a:extLst>
            </xdr:cNvPr>
            <xdr:cNvSpPr txBox="1"/>
          </xdr:nvSpPr>
          <xdr:spPr>
            <a:xfrm>
              <a:off x="1043105" y="14532106"/>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3A12F8F8-0A24-4A9D-9EAE-CFBBA18AF0DB}"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6">
          <xdr:nvSpPr>
            <xdr:cNvPr id="131" name="テキスト ボックス 130">
              <a:extLst>
                <a:ext uri="{FF2B5EF4-FFF2-40B4-BE49-F238E27FC236}">
                  <a16:creationId xmlns:a16="http://schemas.microsoft.com/office/drawing/2014/main" id="{00000000-0008-0000-0A00-000083000000}"/>
                </a:ext>
              </a:extLst>
            </xdr:cNvPr>
            <xdr:cNvSpPr txBox="1"/>
          </xdr:nvSpPr>
          <xdr:spPr>
            <a:xfrm>
              <a:off x="1670167" y="14532106"/>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35E11A9A-B68F-452A-98D1-8E57FABC476A}"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6">
          <xdr:nvSpPr>
            <xdr:cNvPr id="132" name="テキスト ボックス 131">
              <a:extLst>
                <a:ext uri="{FF2B5EF4-FFF2-40B4-BE49-F238E27FC236}">
                  <a16:creationId xmlns:a16="http://schemas.microsoft.com/office/drawing/2014/main" id="{00000000-0008-0000-0A00-000084000000}"/>
                </a:ext>
              </a:extLst>
            </xdr:cNvPr>
            <xdr:cNvSpPr txBox="1"/>
          </xdr:nvSpPr>
          <xdr:spPr>
            <a:xfrm>
              <a:off x="2408354" y="14532106"/>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41EDAEE-8040-4B50-A570-831C57ED119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16">
          <xdr:nvSpPr>
            <xdr:cNvPr id="133" name="テキスト ボックス 132">
              <a:extLst>
                <a:ext uri="{FF2B5EF4-FFF2-40B4-BE49-F238E27FC236}">
                  <a16:creationId xmlns:a16="http://schemas.microsoft.com/office/drawing/2014/main" id="{00000000-0008-0000-0A00-000085000000}"/>
                </a:ext>
              </a:extLst>
            </xdr:cNvPr>
            <xdr:cNvSpPr txBox="1"/>
          </xdr:nvSpPr>
          <xdr:spPr>
            <a:xfrm>
              <a:off x="3202103" y="14532106"/>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399FA3A-C00B-4CED-95F2-47689AF44916}"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L16">
          <xdr:nvSpPr>
            <xdr:cNvPr id="134" name="テキスト ボックス 133">
              <a:extLst>
                <a:ext uri="{FF2B5EF4-FFF2-40B4-BE49-F238E27FC236}">
                  <a16:creationId xmlns:a16="http://schemas.microsoft.com/office/drawing/2014/main" id="{00000000-0008-0000-0A00-000086000000}"/>
                </a:ext>
              </a:extLst>
            </xdr:cNvPr>
            <xdr:cNvSpPr txBox="1"/>
          </xdr:nvSpPr>
          <xdr:spPr>
            <a:xfrm>
              <a:off x="3979978" y="14532106"/>
              <a:ext cx="227012"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377A546A-D4F6-4A68-8EBE-DED923F899A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7">
          <xdr:nvSpPr>
            <xdr:cNvPr id="135" name="テキスト ボックス 134">
              <a:extLst>
                <a:ext uri="{FF2B5EF4-FFF2-40B4-BE49-F238E27FC236}">
                  <a16:creationId xmlns:a16="http://schemas.microsoft.com/office/drawing/2014/main" id="{00000000-0008-0000-0A00-000087000000}"/>
                </a:ext>
              </a:extLst>
            </xdr:cNvPr>
            <xdr:cNvSpPr txBox="1"/>
          </xdr:nvSpPr>
          <xdr:spPr>
            <a:xfrm>
              <a:off x="1043106" y="1516710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535737B-A7D0-4B21-830D-BDB2CE1D394F}"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7">
          <xdr:nvSpPr>
            <xdr:cNvPr id="136" name="テキスト ボックス 135">
              <a:extLst>
                <a:ext uri="{FF2B5EF4-FFF2-40B4-BE49-F238E27FC236}">
                  <a16:creationId xmlns:a16="http://schemas.microsoft.com/office/drawing/2014/main" id="{00000000-0008-0000-0A00-000088000000}"/>
                </a:ext>
              </a:extLst>
            </xdr:cNvPr>
            <xdr:cNvSpPr txBox="1"/>
          </xdr:nvSpPr>
          <xdr:spPr>
            <a:xfrm>
              <a:off x="1670168" y="1516710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E6D7A16-FDE7-4AE8-BA65-1716BD521AEC}"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7">
          <xdr:nvSpPr>
            <xdr:cNvPr id="137" name="テキスト ボックス 136">
              <a:extLst>
                <a:ext uri="{FF2B5EF4-FFF2-40B4-BE49-F238E27FC236}">
                  <a16:creationId xmlns:a16="http://schemas.microsoft.com/office/drawing/2014/main" id="{00000000-0008-0000-0A00-000089000000}"/>
                </a:ext>
              </a:extLst>
            </xdr:cNvPr>
            <xdr:cNvSpPr txBox="1"/>
          </xdr:nvSpPr>
          <xdr:spPr>
            <a:xfrm>
              <a:off x="2416294" y="1516710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BC881AA9-303B-4404-9C28-F208276695E5}"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17">
          <xdr:nvSpPr>
            <xdr:cNvPr id="138" name="テキスト ボックス 137">
              <a:extLst>
                <a:ext uri="{FF2B5EF4-FFF2-40B4-BE49-F238E27FC236}">
                  <a16:creationId xmlns:a16="http://schemas.microsoft.com/office/drawing/2014/main" id="{00000000-0008-0000-0A00-00008A000000}"/>
                </a:ext>
              </a:extLst>
            </xdr:cNvPr>
            <xdr:cNvSpPr txBox="1"/>
          </xdr:nvSpPr>
          <xdr:spPr>
            <a:xfrm>
              <a:off x="3067168" y="1516710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22D9144-58F6-421D-AE38-8455F44989C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3">
          <xdr:nvSpPr>
            <xdr:cNvPr id="139" name="テキスト ボックス 138">
              <a:extLst>
                <a:ext uri="{FF2B5EF4-FFF2-40B4-BE49-F238E27FC236}">
                  <a16:creationId xmlns:a16="http://schemas.microsoft.com/office/drawing/2014/main" id="{00000000-0008-0000-0A00-00008B000000}"/>
                </a:ext>
              </a:extLst>
            </xdr:cNvPr>
            <xdr:cNvSpPr txBox="1"/>
          </xdr:nvSpPr>
          <xdr:spPr>
            <a:xfrm>
              <a:off x="4646730" y="15167105"/>
              <a:ext cx="227013"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0CB2D42-CE63-4BE1-B0DF-48B5A2AF25BA}"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3">
          <xdr:nvSpPr>
            <xdr:cNvPr id="140" name="テキスト ボックス 139">
              <a:extLst>
                <a:ext uri="{FF2B5EF4-FFF2-40B4-BE49-F238E27FC236}">
                  <a16:creationId xmlns:a16="http://schemas.microsoft.com/office/drawing/2014/main" id="{00000000-0008-0000-0A00-00008C000000}"/>
                </a:ext>
              </a:extLst>
            </xdr:cNvPr>
            <xdr:cNvSpPr txBox="1"/>
          </xdr:nvSpPr>
          <xdr:spPr>
            <a:xfrm>
              <a:off x="5265856" y="1516710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45CF2C1-C1CF-4546-A768-67B81839B7C0}"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3">
          <xdr:nvSpPr>
            <xdr:cNvPr id="141" name="テキスト ボックス 140">
              <a:extLst>
                <a:ext uri="{FF2B5EF4-FFF2-40B4-BE49-F238E27FC236}">
                  <a16:creationId xmlns:a16="http://schemas.microsoft.com/office/drawing/2014/main" id="{00000000-0008-0000-0A00-00008D000000}"/>
                </a:ext>
              </a:extLst>
            </xdr:cNvPr>
            <xdr:cNvSpPr txBox="1"/>
          </xdr:nvSpPr>
          <xdr:spPr>
            <a:xfrm>
              <a:off x="6011981" y="15167105"/>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221A8171-87CF-46AF-95A0-A4C8AE8F2FA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8">
          <xdr:nvSpPr>
            <xdr:cNvPr id="142" name="テキスト ボックス 141">
              <a:extLst>
                <a:ext uri="{FF2B5EF4-FFF2-40B4-BE49-F238E27FC236}">
                  <a16:creationId xmlns:a16="http://schemas.microsoft.com/office/drawing/2014/main" id="{00000000-0008-0000-0A00-00008E000000}"/>
                </a:ext>
              </a:extLst>
            </xdr:cNvPr>
            <xdr:cNvSpPr txBox="1"/>
          </xdr:nvSpPr>
          <xdr:spPr>
            <a:xfrm>
              <a:off x="1043106" y="15524292"/>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39F90FFA-68E9-4D15-B3EB-B32AF872965C}"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8">
          <xdr:nvSpPr>
            <xdr:cNvPr id="143" name="テキスト ボックス 142">
              <a:extLst>
                <a:ext uri="{FF2B5EF4-FFF2-40B4-BE49-F238E27FC236}">
                  <a16:creationId xmlns:a16="http://schemas.microsoft.com/office/drawing/2014/main" id="{00000000-0008-0000-0A00-00008F000000}"/>
                </a:ext>
              </a:extLst>
            </xdr:cNvPr>
            <xdr:cNvSpPr txBox="1"/>
          </xdr:nvSpPr>
          <xdr:spPr>
            <a:xfrm>
              <a:off x="1670168" y="15524292"/>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393B3A8-EB8C-4104-B6A3-1C7A89C3FBD8}"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8">
          <xdr:nvSpPr>
            <xdr:cNvPr id="144" name="テキスト ボックス 143">
              <a:extLst>
                <a:ext uri="{FF2B5EF4-FFF2-40B4-BE49-F238E27FC236}">
                  <a16:creationId xmlns:a16="http://schemas.microsoft.com/office/drawing/2014/main" id="{00000000-0008-0000-0A00-000090000000}"/>
                </a:ext>
              </a:extLst>
            </xdr:cNvPr>
            <xdr:cNvSpPr txBox="1"/>
          </xdr:nvSpPr>
          <xdr:spPr>
            <a:xfrm>
              <a:off x="2416294" y="15524292"/>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DAB23C5-2505-4498-98E2-27C868C5D533}"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18">
          <xdr:nvSpPr>
            <xdr:cNvPr id="145" name="テキスト ボックス 144">
              <a:extLst>
                <a:ext uri="{FF2B5EF4-FFF2-40B4-BE49-F238E27FC236}">
                  <a16:creationId xmlns:a16="http://schemas.microsoft.com/office/drawing/2014/main" id="{00000000-0008-0000-0A00-000091000000}"/>
                </a:ext>
              </a:extLst>
            </xdr:cNvPr>
            <xdr:cNvSpPr txBox="1"/>
          </xdr:nvSpPr>
          <xdr:spPr>
            <a:xfrm>
              <a:off x="3067168" y="15524292"/>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52AE82E-B305-426B-95CB-2AF0B90361C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4">
          <xdr:nvSpPr>
            <xdr:cNvPr id="146" name="テキスト ボックス 145">
              <a:extLst>
                <a:ext uri="{FF2B5EF4-FFF2-40B4-BE49-F238E27FC236}">
                  <a16:creationId xmlns:a16="http://schemas.microsoft.com/office/drawing/2014/main" id="{00000000-0008-0000-0A00-000092000000}"/>
                </a:ext>
              </a:extLst>
            </xdr:cNvPr>
            <xdr:cNvSpPr txBox="1"/>
          </xdr:nvSpPr>
          <xdr:spPr>
            <a:xfrm>
              <a:off x="4646730" y="15524292"/>
              <a:ext cx="227013"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3809F21-BD86-4EB0-A3F6-AD857E6A4C33}"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4">
          <xdr:nvSpPr>
            <xdr:cNvPr id="147" name="テキスト ボックス 146">
              <a:extLst>
                <a:ext uri="{FF2B5EF4-FFF2-40B4-BE49-F238E27FC236}">
                  <a16:creationId xmlns:a16="http://schemas.microsoft.com/office/drawing/2014/main" id="{00000000-0008-0000-0A00-000093000000}"/>
                </a:ext>
              </a:extLst>
            </xdr:cNvPr>
            <xdr:cNvSpPr txBox="1"/>
          </xdr:nvSpPr>
          <xdr:spPr>
            <a:xfrm>
              <a:off x="5265856" y="15524292"/>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BAA42DDE-A7EE-4447-A6A1-DFA9398FBBF6}"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4">
          <xdr:nvSpPr>
            <xdr:cNvPr id="148" name="テキスト ボックス 147">
              <a:extLst>
                <a:ext uri="{FF2B5EF4-FFF2-40B4-BE49-F238E27FC236}">
                  <a16:creationId xmlns:a16="http://schemas.microsoft.com/office/drawing/2014/main" id="{00000000-0008-0000-0A00-000094000000}"/>
                </a:ext>
              </a:extLst>
            </xdr:cNvPr>
            <xdr:cNvSpPr txBox="1"/>
          </xdr:nvSpPr>
          <xdr:spPr>
            <a:xfrm>
              <a:off x="6011981" y="15524292"/>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556378E-7D83-4F49-B491-C0A779643E75}"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19">
          <xdr:nvSpPr>
            <xdr:cNvPr id="149" name="テキスト ボックス 148">
              <a:extLst>
                <a:ext uri="{FF2B5EF4-FFF2-40B4-BE49-F238E27FC236}">
                  <a16:creationId xmlns:a16="http://schemas.microsoft.com/office/drawing/2014/main" id="{00000000-0008-0000-0A00-000095000000}"/>
                </a:ext>
              </a:extLst>
            </xdr:cNvPr>
            <xdr:cNvSpPr txBox="1"/>
          </xdr:nvSpPr>
          <xdr:spPr>
            <a:xfrm>
              <a:off x="1043106" y="15889417"/>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079596E-DFA5-432B-818A-D520B881060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19">
          <xdr:nvSpPr>
            <xdr:cNvPr id="150" name="テキスト ボックス 149">
              <a:extLst>
                <a:ext uri="{FF2B5EF4-FFF2-40B4-BE49-F238E27FC236}">
                  <a16:creationId xmlns:a16="http://schemas.microsoft.com/office/drawing/2014/main" id="{00000000-0008-0000-0A00-000096000000}"/>
                </a:ext>
              </a:extLst>
            </xdr:cNvPr>
            <xdr:cNvSpPr txBox="1"/>
          </xdr:nvSpPr>
          <xdr:spPr>
            <a:xfrm>
              <a:off x="1670168" y="15889417"/>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2769C78D-24BA-47B5-A1E8-3280AB7C8483}"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19">
          <xdr:nvSpPr>
            <xdr:cNvPr id="151" name="テキスト ボックス 150">
              <a:extLst>
                <a:ext uri="{FF2B5EF4-FFF2-40B4-BE49-F238E27FC236}">
                  <a16:creationId xmlns:a16="http://schemas.microsoft.com/office/drawing/2014/main" id="{00000000-0008-0000-0A00-000097000000}"/>
                </a:ext>
              </a:extLst>
            </xdr:cNvPr>
            <xdr:cNvSpPr txBox="1"/>
          </xdr:nvSpPr>
          <xdr:spPr>
            <a:xfrm>
              <a:off x="2416294" y="15889417"/>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E0BDE25-78CE-41AB-8FD1-C372EE5C4286}"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5">
          <xdr:nvSpPr>
            <xdr:cNvPr id="152" name="テキスト ボックス 151">
              <a:extLst>
                <a:ext uri="{FF2B5EF4-FFF2-40B4-BE49-F238E27FC236}">
                  <a16:creationId xmlns:a16="http://schemas.microsoft.com/office/drawing/2014/main" id="{00000000-0008-0000-0A00-000098000000}"/>
                </a:ext>
              </a:extLst>
            </xdr:cNvPr>
            <xdr:cNvSpPr txBox="1"/>
          </xdr:nvSpPr>
          <xdr:spPr>
            <a:xfrm>
              <a:off x="4646730" y="15889417"/>
              <a:ext cx="227013"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4243B43-710E-4DFF-93C0-88F07A354615}"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5">
          <xdr:nvSpPr>
            <xdr:cNvPr id="153" name="テキスト ボックス 152">
              <a:extLst>
                <a:ext uri="{FF2B5EF4-FFF2-40B4-BE49-F238E27FC236}">
                  <a16:creationId xmlns:a16="http://schemas.microsoft.com/office/drawing/2014/main" id="{00000000-0008-0000-0A00-000099000000}"/>
                </a:ext>
              </a:extLst>
            </xdr:cNvPr>
            <xdr:cNvSpPr txBox="1"/>
          </xdr:nvSpPr>
          <xdr:spPr>
            <a:xfrm>
              <a:off x="5265856" y="15889417"/>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2CA28938-6538-4265-BED3-DC837335CF9D}"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5">
          <xdr:nvSpPr>
            <xdr:cNvPr id="154" name="テキスト ボックス 153">
              <a:extLst>
                <a:ext uri="{FF2B5EF4-FFF2-40B4-BE49-F238E27FC236}">
                  <a16:creationId xmlns:a16="http://schemas.microsoft.com/office/drawing/2014/main" id="{00000000-0008-0000-0A00-00009A000000}"/>
                </a:ext>
              </a:extLst>
            </xdr:cNvPr>
            <xdr:cNvSpPr txBox="1"/>
          </xdr:nvSpPr>
          <xdr:spPr>
            <a:xfrm>
              <a:off x="6011981" y="15889417"/>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88C9E5B8-1027-40E7-BB90-D190BB9F4A9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0">
          <xdr:nvSpPr>
            <xdr:cNvPr id="155" name="テキスト ボックス 154">
              <a:extLst>
                <a:ext uri="{FF2B5EF4-FFF2-40B4-BE49-F238E27FC236}">
                  <a16:creationId xmlns:a16="http://schemas.microsoft.com/office/drawing/2014/main" id="{00000000-0008-0000-0A00-00009B000000}"/>
                </a:ext>
              </a:extLst>
            </xdr:cNvPr>
            <xdr:cNvSpPr txBox="1"/>
          </xdr:nvSpPr>
          <xdr:spPr>
            <a:xfrm>
              <a:off x="1051043" y="16262479"/>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20BB925F-06A4-46C0-92B9-76C3533420BB}"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0">
          <xdr:nvSpPr>
            <xdr:cNvPr id="156" name="テキスト ボックス 155">
              <a:extLst>
                <a:ext uri="{FF2B5EF4-FFF2-40B4-BE49-F238E27FC236}">
                  <a16:creationId xmlns:a16="http://schemas.microsoft.com/office/drawing/2014/main" id="{00000000-0008-0000-0A00-00009C000000}"/>
                </a:ext>
              </a:extLst>
            </xdr:cNvPr>
            <xdr:cNvSpPr txBox="1"/>
          </xdr:nvSpPr>
          <xdr:spPr>
            <a:xfrm>
              <a:off x="1678105" y="16262479"/>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A442D1C-032F-4FB0-9C6A-EAD82E96A943}"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0">
          <xdr:nvSpPr>
            <xdr:cNvPr id="157" name="テキスト ボックス 156">
              <a:extLst>
                <a:ext uri="{FF2B5EF4-FFF2-40B4-BE49-F238E27FC236}">
                  <a16:creationId xmlns:a16="http://schemas.microsoft.com/office/drawing/2014/main" id="{00000000-0008-0000-0A00-00009D000000}"/>
                </a:ext>
              </a:extLst>
            </xdr:cNvPr>
            <xdr:cNvSpPr txBox="1"/>
          </xdr:nvSpPr>
          <xdr:spPr>
            <a:xfrm>
              <a:off x="2424231" y="16262479"/>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5D0F420-6F1D-4E78-AC84-E5078149909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20">
          <xdr:nvSpPr>
            <xdr:cNvPr id="158" name="テキスト ボックス 157">
              <a:extLst>
                <a:ext uri="{FF2B5EF4-FFF2-40B4-BE49-F238E27FC236}">
                  <a16:creationId xmlns:a16="http://schemas.microsoft.com/office/drawing/2014/main" id="{00000000-0008-0000-0A00-00009E000000}"/>
                </a:ext>
              </a:extLst>
            </xdr:cNvPr>
            <xdr:cNvSpPr txBox="1"/>
          </xdr:nvSpPr>
          <xdr:spPr>
            <a:xfrm>
              <a:off x="3075105" y="16262479"/>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356BBFE-2B49-4E99-B563-155758B6D3CE}"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6">
          <xdr:nvSpPr>
            <xdr:cNvPr id="159" name="テキスト ボックス 158">
              <a:extLst>
                <a:ext uri="{FF2B5EF4-FFF2-40B4-BE49-F238E27FC236}">
                  <a16:creationId xmlns:a16="http://schemas.microsoft.com/office/drawing/2014/main" id="{00000000-0008-0000-0A00-00009F000000}"/>
                </a:ext>
              </a:extLst>
            </xdr:cNvPr>
            <xdr:cNvSpPr txBox="1"/>
          </xdr:nvSpPr>
          <xdr:spPr>
            <a:xfrm>
              <a:off x="4654667" y="16262479"/>
              <a:ext cx="227013"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6DD34631-AFE3-47C1-B55B-08088733173B}"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6">
          <xdr:nvSpPr>
            <xdr:cNvPr id="160" name="テキスト ボックス 159">
              <a:extLst>
                <a:ext uri="{FF2B5EF4-FFF2-40B4-BE49-F238E27FC236}">
                  <a16:creationId xmlns:a16="http://schemas.microsoft.com/office/drawing/2014/main" id="{00000000-0008-0000-0A00-0000A0000000}"/>
                </a:ext>
              </a:extLst>
            </xdr:cNvPr>
            <xdr:cNvSpPr txBox="1"/>
          </xdr:nvSpPr>
          <xdr:spPr>
            <a:xfrm>
              <a:off x="5273793" y="16262479"/>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9CD85BEA-9519-41BD-B307-500786AF5280}"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6">
          <xdr:nvSpPr>
            <xdr:cNvPr id="161" name="テキスト ボックス 160">
              <a:extLst>
                <a:ext uri="{FF2B5EF4-FFF2-40B4-BE49-F238E27FC236}">
                  <a16:creationId xmlns:a16="http://schemas.microsoft.com/office/drawing/2014/main" id="{00000000-0008-0000-0A00-0000A1000000}"/>
                </a:ext>
              </a:extLst>
            </xdr:cNvPr>
            <xdr:cNvSpPr txBox="1"/>
          </xdr:nvSpPr>
          <xdr:spPr>
            <a:xfrm>
              <a:off x="6019918" y="16262479"/>
              <a:ext cx="227013"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A366BB4B-B947-401F-8D22-6C13E710E7CE}"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1">
          <xdr:nvSpPr>
            <xdr:cNvPr id="162" name="テキスト ボックス 161">
              <a:extLst>
                <a:ext uri="{FF2B5EF4-FFF2-40B4-BE49-F238E27FC236}">
                  <a16:creationId xmlns:a16="http://schemas.microsoft.com/office/drawing/2014/main" id="{00000000-0008-0000-0A00-0000A2000000}"/>
                </a:ext>
              </a:extLst>
            </xdr:cNvPr>
            <xdr:cNvSpPr txBox="1"/>
          </xdr:nvSpPr>
          <xdr:spPr>
            <a:xfrm>
              <a:off x="1043105" y="16619667"/>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6624540-36B6-4E8F-A1E2-9C15B7FD69D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1">
          <xdr:nvSpPr>
            <xdr:cNvPr id="163" name="テキスト ボックス 162">
              <a:extLst>
                <a:ext uri="{FF2B5EF4-FFF2-40B4-BE49-F238E27FC236}">
                  <a16:creationId xmlns:a16="http://schemas.microsoft.com/office/drawing/2014/main" id="{00000000-0008-0000-0A00-0000A3000000}"/>
                </a:ext>
              </a:extLst>
            </xdr:cNvPr>
            <xdr:cNvSpPr txBox="1"/>
          </xdr:nvSpPr>
          <xdr:spPr>
            <a:xfrm>
              <a:off x="1670167" y="16619667"/>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24DE37A-F4E7-4564-BAB0-6951A7B4D822}"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1">
          <xdr:nvSpPr>
            <xdr:cNvPr id="164" name="テキスト ボックス 163">
              <a:extLst>
                <a:ext uri="{FF2B5EF4-FFF2-40B4-BE49-F238E27FC236}">
                  <a16:creationId xmlns:a16="http://schemas.microsoft.com/office/drawing/2014/main" id="{00000000-0008-0000-0A00-0000A4000000}"/>
                </a:ext>
              </a:extLst>
            </xdr:cNvPr>
            <xdr:cNvSpPr txBox="1"/>
          </xdr:nvSpPr>
          <xdr:spPr>
            <a:xfrm>
              <a:off x="2416293" y="16619667"/>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466499D-930F-43CB-B50D-33A7AC95EB34}"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21">
          <xdr:nvSpPr>
            <xdr:cNvPr id="165" name="テキスト ボックス 164">
              <a:extLst>
                <a:ext uri="{FF2B5EF4-FFF2-40B4-BE49-F238E27FC236}">
                  <a16:creationId xmlns:a16="http://schemas.microsoft.com/office/drawing/2014/main" id="{00000000-0008-0000-0A00-0000A5000000}"/>
                </a:ext>
              </a:extLst>
            </xdr:cNvPr>
            <xdr:cNvSpPr txBox="1"/>
          </xdr:nvSpPr>
          <xdr:spPr>
            <a:xfrm>
              <a:off x="3067167" y="16619667"/>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9AEFF99C-3CC5-4653-A33A-01C05CDE977F}"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7">
          <xdr:nvSpPr>
            <xdr:cNvPr id="166" name="テキスト ボックス 165">
              <a:extLst>
                <a:ext uri="{FF2B5EF4-FFF2-40B4-BE49-F238E27FC236}">
                  <a16:creationId xmlns:a16="http://schemas.microsoft.com/office/drawing/2014/main" id="{00000000-0008-0000-0A00-0000A6000000}"/>
                </a:ext>
              </a:extLst>
            </xdr:cNvPr>
            <xdr:cNvSpPr txBox="1"/>
          </xdr:nvSpPr>
          <xdr:spPr>
            <a:xfrm>
              <a:off x="4646729" y="16619667"/>
              <a:ext cx="227013"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0784A11-7185-4B3A-82BF-38637C141A40}"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7">
          <xdr:nvSpPr>
            <xdr:cNvPr id="167" name="テキスト ボックス 166">
              <a:extLst>
                <a:ext uri="{FF2B5EF4-FFF2-40B4-BE49-F238E27FC236}">
                  <a16:creationId xmlns:a16="http://schemas.microsoft.com/office/drawing/2014/main" id="{00000000-0008-0000-0A00-0000A7000000}"/>
                </a:ext>
              </a:extLst>
            </xdr:cNvPr>
            <xdr:cNvSpPr txBox="1"/>
          </xdr:nvSpPr>
          <xdr:spPr>
            <a:xfrm>
              <a:off x="5265855" y="16619667"/>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4F08A1F-B09F-49A9-A5AD-6AB83695513B}"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7">
          <xdr:nvSpPr>
            <xdr:cNvPr id="168" name="テキスト ボックス 167">
              <a:extLst>
                <a:ext uri="{FF2B5EF4-FFF2-40B4-BE49-F238E27FC236}">
                  <a16:creationId xmlns:a16="http://schemas.microsoft.com/office/drawing/2014/main" id="{00000000-0008-0000-0A00-0000A8000000}"/>
                </a:ext>
              </a:extLst>
            </xdr:cNvPr>
            <xdr:cNvSpPr txBox="1"/>
          </xdr:nvSpPr>
          <xdr:spPr>
            <a:xfrm>
              <a:off x="6011980" y="16619667"/>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ACAA7D67-64EC-4DB4-A41D-ABA89BDAE044}"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2">
          <xdr:nvSpPr>
            <xdr:cNvPr id="169" name="テキスト ボックス 168">
              <a:extLst>
                <a:ext uri="{FF2B5EF4-FFF2-40B4-BE49-F238E27FC236}">
                  <a16:creationId xmlns:a16="http://schemas.microsoft.com/office/drawing/2014/main" id="{00000000-0008-0000-0A00-0000A9000000}"/>
                </a:ext>
              </a:extLst>
            </xdr:cNvPr>
            <xdr:cNvSpPr txBox="1"/>
          </xdr:nvSpPr>
          <xdr:spPr>
            <a:xfrm>
              <a:off x="1043105" y="16997491"/>
              <a:ext cx="219075" cy="236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4A8C334-2BE1-420E-A0BE-6BF68B89BCB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2">
          <xdr:nvSpPr>
            <xdr:cNvPr id="170" name="テキスト ボックス 169">
              <a:extLst>
                <a:ext uri="{FF2B5EF4-FFF2-40B4-BE49-F238E27FC236}">
                  <a16:creationId xmlns:a16="http://schemas.microsoft.com/office/drawing/2014/main" id="{00000000-0008-0000-0A00-0000AA000000}"/>
                </a:ext>
              </a:extLst>
            </xdr:cNvPr>
            <xdr:cNvSpPr txBox="1"/>
          </xdr:nvSpPr>
          <xdr:spPr>
            <a:xfrm>
              <a:off x="1670167" y="16997491"/>
              <a:ext cx="219075" cy="236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7FE7C65-6558-47AB-84A9-D430F8DDBD16}"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2">
          <xdr:nvSpPr>
            <xdr:cNvPr id="171" name="テキスト ボックス 170">
              <a:extLst>
                <a:ext uri="{FF2B5EF4-FFF2-40B4-BE49-F238E27FC236}">
                  <a16:creationId xmlns:a16="http://schemas.microsoft.com/office/drawing/2014/main" id="{00000000-0008-0000-0A00-0000AB000000}"/>
                </a:ext>
              </a:extLst>
            </xdr:cNvPr>
            <xdr:cNvSpPr txBox="1"/>
          </xdr:nvSpPr>
          <xdr:spPr>
            <a:xfrm>
              <a:off x="2416293" y="16997491"/>
              <a:ext cx="219075" cy="236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A1F0873-9C8B-4D18-A39A-E75B055F45BF}"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22">
          <xdr:nvSpPr>
            <xdr:cNvPr id="172" name="テキスト ボックス 171">
              <a:extLst>
                <a:ext uri="{FF2B5EF4-FFF2-40B4-BE49-F238E27FC236}">
                  <a16:creationId xmlns:a16="http://schemas.microsoft.com/office/drawing/2014/main" id="{00000000-0008-0000-0A00-0000AC000000}"/>
                </a:ext>
              </a:extLst>
            </xdr:cNvPr>
            <xdr:cNvSpPr txBox="1"/>
          </xdr:nvSpPr>
          <xdr:spPr>
            <a:xfrm>
              <a:off x="3067167" y="16997491"/>
              <a:ext cx="219075" cy="236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12E926E-4592-4078-8A1D-C71E2D6E889B}"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8">
          <xdr:nvSpPr>
            <xdr:cNvPr id="173" name="テキスト ボックス 172">
              <a:extLst>
                <a:ext uri="{FF2B5EF4-FFF2-40B4-BE49-F238E27FC236}">
                  <a16:creationId xmlns:a16="http://schemas.microsoft.com/office/drawing/2014/main" id="{00000000-0008-0000-0A00-0000AD000000}"/>
                </a:ext>
              </a:extLst>
            </xdr:cNvPr>
            <xdr:cNvSpPr txBox="1"/>
          </xdr:nvSpPr>
          <xdr:spPr>
            <a:xfrm>
              <a:off x="4646729" y="16997491"/>
              <a:ext cx="227013" cy="236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434EBB6-0C03-4F75-BD9D-ADEBF8E57532}"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8">
          <xdr:nvSpPr>
            <xdr:cNvPr id="174" name="テキスト ボックス 173">
              <a:extLst>
                <a:ext uri="{FF2B5EF4-FFF2-40B4-BE49-F238E27FC236}">
                  <a16:creationId xmlns:a16="http://schemas.microsoft.com/office/drawing/2014/main" id="{00000000-0008-0000-0A00-0000AE000000}"/>
                </a:ext>
              </a:extLst>
            </xdr:cNvPr>
            <xdr:cNvSpPr txBox="1"/>
          </xdr:nvSpPr>
          <xdr:spPr>
            <a:xfrm>
              <a:off x="5591292" y="16989554"/>
              <a:ext cx="219075" cy="236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426960E-A474-42D4-ADDD-329BF756E233}"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8">
          <xdr:nvSpPr>
            <xdr:cNvPr id="175" name="テキスト ボックス 174">
              <a:extLst>
                <a:ext uri="{FF2B5EF4-FFF2-40B4-BE49-F238E27FC236}">
                  <a16:creationId xmlns:a16="http://schemas.microsoft.com/office/drawing/2014/main" id="{00000000-0008-0000-0A00-0000AF000000}"/>
                </a:ext>
              </a:extLst>
            </xdr:cNvPr>
            <xdr:cNvSpPr txBox="1"/>
          </xdr:nvSpPr>
          <xdr:spPr>
            <a:xfrm>
              <a:off x="6504105" y="16981616"/>
              <a:ext cx="219075" cy="236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AA47179-89CA-434A-96D7-676727F5C166}"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26">
          <xdr:nvSpPr>
            <xdr:cNvPr id="176" name="テキスト ボックス 175">
              <a:extLst>
                <a:ext uri="{FF2B5EF4-FFF2-40B4-BE49-F238E27FC236}">
                  <a16:creationId xmlns:a16="http://schemas.microsoft.com/office/drawing/2014/main" id="{00000000-0008-0000-0A00-0000B0000000}"/>
                </a:ext>
              </a:extLst>
            </xdr:cNvPr>
            <xdr:cNvSpPr txBox="1"/>
          </xdr:nvSpPr>
          <xdr:spPr>
            <a:xfrm>
              <a:off x="6718418" y="16254541"/>
              <a:ext cx="227012"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DB42D90-402D-4AC3-8547-9FE89A3AE465}"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27">
          <xdr:nvSpPr>
            <xdr:cNvPr id="177" name="テキスト ボックス 176">
              <a:extLst>
                <a:ext uri="{FF2B5EF4-FFF2-40B4-BE49-F238E27FC236}">
                  <a16:creationId xmlns:a16="http://schemas.microsoft.com/office/drawing/2014/main" id="{00000000-0008-0000-0A00-0000B1000000}"/>
                </a:ext>
              </a:extLst>
            </xdr:cNvPr>
            <xdr:cNvSpPr txBox="1"/>
          </xdr:nvSpPr>
          <xdr:spPr>
            <a:xfrm>
              <a:off x="6718418" y="16632366"/>
              <a:ext cx="227012" cy="236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A0CF7642-DA74-477C-ADF9-4D289AE127E1}"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29">
          <xdr:nvSpPr>
            <xdr:cNvPr id="178" name="テキスト ボックス 177">
              <a:extLst>
                <a:ext uri="{FF2B5EF4-FFF2-40B4-BE49-F238E27FC236}">
                  <a16:creationId xmlns:a16="http://schemas.microsoft.com/office/drawing/2014/main" id="{00000000-0008-0000-0A00-0000B2000000}"/>
                </a:ext>
              </a:extLst>
            </xdr:cNvPr>
            <xdr:cNvSpPr txBox="1"/>
          </xdr:nvSpPr>
          <xdr:spPr>
            <a:xfrm>
              <a:off x="1043105" y="17556291"/>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575DB6B-2B7F-4BCD-AEB4-026ED4EE6EEE}"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29">
          <xdr:nvSpPr>
            <xdr:cNvPr id="179" name="テキスト ボックス 178">
              <a:extLst>
                <a:ext uri="{FF2B5EF4-FFF2-40B4-BE49-F238E27FC236}">
                  <a16:creationId xmlns:a16="http://schemas.microsoft.com/office/drawing/2014/main" id="{00000000-0008-0000-0A00-0000B3000000}"/>
                </a:ext>
              </a:extLst>
            </xdr:cNvPr>
            <xdr:cNvSpPr txBox="1"/>
          </xdr:nvSpPr>
          <xdr:spPr>
            <a:xfrm>
              <a:off x="1670167" y="17556291"/>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AD58332-768D-40EE-8E4E-ADDB3C5EFD3C}"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29">
          <xdr:nvSpPr>
            <xdr:cNvPr id="180" name="テキスト ボックス 179">
              <a:extLst>
                <a:ext uri="{FF2B5EF4-FFF2-40B4-BE49-F238E27FC236}">
                  <a16:creationId xmlns:a16="http://schemas.microsoft.com/office/drawing/2014/main" id="{00000000-0008-0000-0A00-0000B4000000}"/>
                </a:ext>
              </a:extLst>
            </xdr:cNvPr>
            <xdr:cNvSpPr txBox="1"/>
          </xdr:nvSpPr>
          <xdr:spPr>
            <a:xfrm>
              <a:off x="2416293" y="17556291"/>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8B7DF3B8-5354-4A62-9CE8-8B84A96D23A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K29">
          <xdr:nvSpPr>
            <xdr:cNvPr id="181" name="テキスト ボックス 180">
              <a:extLst>
                <a:ext uri="{FF2B5EF4-FFF2-40B4-BE49-F238E27FC236}">
                  <a16:creationId xmlns:a16="http://schemas.microsoft.com/office/drawing/2014/main" id="{00000000-0008-0000-0A00-0000B5000000}"/>
                </a:ext>
              </a:extLst>
            </xdr:cNvPr>
            <xdr:cNvSpPr txBox="1"/>
          </xdr:nvSpPr>
          <xdr:spPr>
            <a:xfrm>
              <a:off x="3075105" y="17556291"/>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878C9EB-0B08-45CC-8588-4536C479E78E}"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0">
          <xdr:nvSpPr>
            <xdr:cNvPr id="182" name="テキスト ボックス 181">
              <a:extLst>
                <a:ext uri="{FF2B5EF4-FFF2-40B4-BE49-F238E27FC236}">
                  <a16:creationId xmlns:a16="http://schemas.microsoft.com/office/drawing/2014/main" id="{00000000-0008-0000-0A00-0000B6000000}"/>
                </a:ext>
              </a:extLst>
            </xdr:cNvPr>
            <xdr:cNvSpPr txBox="1"/>
          </xdr:nvSpPr>
          <xdr:spPr>
            <a:xfrm>
              <a:off x="1670167" y="17921416"/>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E7E88C0-7E7D-4A96-8EB3-0D672CC58EB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0">
          <xdr:nvSpPr>
            <xdr:cNvPr id="183" name="テキスト ボックス 182">
              <a:extLst>
                <a:ext uri="{FF2B5EF4-FFF2-40B4-BE49-F238E27FC236}">
                  <a16:creationId xmlns:a16="http://schemas.microsoft.com/office/drawing/2014/main" id="{00000000-0008-0000-0A00-0000B7000000}"/>
                </a:ext>
              </a:extLst>
            </xdr:cNvPr>
            <xdr:cNvSpPr txBox="1"/>
          </xdr:nvSpPr>
          <xdr:spPr>
            <a:xfrm>
              <a:off x="2416293" y="17921416"/>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05B0C5F-6552-494B-BD93-ECF012C7499C}"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1">
          <xdr:nvSpPr>
            <xdr:cNvPr id="184" name="テキスト ボックス 183">
              <a:extLst>
                <a:ext uri="{FF2B5EF4-FFF2-40B4-BE49-F238E27FC236}">
                  <a16:creationId xmlns:a16="http://schemas.microsoft.com/office/drawing/2014/main" id="{00000000-0008-0000-0A00-0000B8000000}"/>
                </a:ext>
              </a:extLst>
            </xdr:cNvPr>
            <xdr:cNvSpPr txBox="1"/>
          </xdr:nvSpPr>
          <xdr:spPr>
            <a:xfrm>
              <a:off x="1670167" y="18286541"/>
              <a:ext cx="219075"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9FAD8E8-01C0-4FAF-93D8-F6DF96F0954B}"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1">
          <xdr:nvSpPr>
            <xdr:cNvPr id="185" name="テキスト ボックス 184">
              <a:extLst>
                <a:ext uri="{FF2B5EF4-FFF2-40B4-BE49-F238E27FC236}">
                  <a16:creationId xmlns:a16="http://schemas.microsoft.com/office/drawing/2014/main" id="{00000000-0008-0000-0A00-0000B9000000}"/>
                </a:ext>
              </a:extLst>
            </xdr:cNvPr>
            <xdr:cNvSpPr txBox="1"/>
          </xdr:nvSpPr>
          <xdr:spPr>
            <a:xfrm>
              <a:off x="2416293" y="18286541"/>
              <a:ext cx="219075"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B1A2775-488B-4FF9-9252-B303B145EA5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2">
          <xdr:nvSpPr>
            <xdr:cNvPr id="186" name="テキスト ボックス 185">
              <a:extLst>
                <a:ext uri="{FF2B5EF4-FFF2-40B4-BE49-F238E27FC236}">
                  <a16:creationId xmlns:a16="http://schemas.microsoft.com/office/drawing/2014/main" id="{00000000-0008-0000-0A00-0000BA000000}"/>
                </a:ext>
              </a:extLst>
            </xdr:cNvPr>
            <xdr:cNvSpPr txBox="1"/>
          </xdr:nvSpPr>
          <xdr:spPr>
            <a:xfrm>
              <a:off x="1670167" y="18643727"/>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CADF08B-07D1-4D2D-88F6-78DFBE5807B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2">
          <xdr:nvSpPr>
            <xdr:cNvPr id="187" name="テキスト ボックス 186">
              <a:extLst>
                <a:ext uri="{FF2B5EF4-FFF2-40B4-BE49-F238E27FC236}">
                  <a16:creationId xmlns:a16="http://schemas.microsoft.com/office/drawing/2014/main" id="{00000000-0008-0000-0A00-0000BB000000}"/>
                </a:ext>
              </a:extLst>
            </xdr:cNvPr>
            <xdr:cNvSpPr txBox="1"/>
          </xdr:nvSpPr>
          <xdr:spPr>
            <a:xfrm>
              <a:off x="2416293" y="18643727"/>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87F2331-5231-445A-9C37-17B84E46D601}"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3">
          <xdr:nvSpPr>
            <xdr:cNvPr id="188" name="テキスト ボックス 187">
              <a:extLst>
                <a:ext uri="{FF2B5EF4-FFF2-40B4-BE49-F238E27FC236}">
                  <a16:creationId xmlns:a16="http://schemas.microsoft.com/office/drawing/2014/main" id="{00000000-0008-0000-0A00-0000BC000000}"/>
                </a:ext>
              </a:extLst>
            </xdr:cNvPr>
            <xdr:cNvSpPr txBox="1"/>
          </xdr:nvSpPr>
          <xdr:spPr>
            <a:xfrm>
              <a:off x="1670167" y="19016790"/>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30C3E619-D662-417F-9EFC-4ADD5301AFB5}"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3">
          <xdr:nvSpPr>
            <xdr:cNvPr id="189" name="テキスト ボックス 188">
              <a:extLst>
                <a:ext uri="{FF2B5EF4-FFF2-40B4-BE49-F238E27FC236}">
                  <a16:creationId xmlns:a16="http://schemas.microsoft.com/office/drawing/2014/main" id="{00000000-0008-0000-0A00-0000BD000000}"/>
                </a:ext>
              </a:extLst>
            </xdr:cNvPr>
            <xdr:cNvSpPr txBox="1"/>
          </xdr:nvSpPr>
          <xdr:spPr>
            <a:xfrm>
              <a:off x="2416293" y="19016790"/>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61A8DFE-A6E6-494B-99AE-DFE610315038}"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4">
          <xdr:nvSpPr>
            <xdr:cNvPr id="190" name="テキスト ボックス 189">
              <a:extLst>
                <a:ext uri="{FF2B5EF4-FFF2-40B4-BE49-F238E27FC236}">
                  <a16:creationId xmlns:a16="http://schemas.microsoft.com/office/drawing/2014/main" id="{00000000-0008-0000-0A00-0000BE000000}"/>
                </a:ext>
              </a:extLst>
            </xdr:cNvPr>
            <xdr:cNvSpPr txBox="1"/>
          </xdr:nvSpPr>
          <xdr:spPr>
            <a:xfrm>
              <a:off x="5257917" y="17556290"/>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3817750-9AFA-4DD6-A53D-7F8C89F3D0DA}"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4">
          <xdr:nvSpPr>
            <xdr:cNvPr id="191" name="テキスト ボックス 190">
              <a:extLst>
                <a:ext uri="{FF2B5EF4-FFF2-40B4-BE49-F238E27FC236}">
                  <a16:creationId xmlns:a16="http://schemas.microsoft.com/office/drawing/2014/main" id="{00000000-0008-0000-0A00-0000BF000000}"/>
                </a:ext>
              </a:extLst>
            </xdr:cNvPr>
            <xdr:cNvSpPr txBox="1"/>
          </xdr:nvSpPr>
          <xdr:spPr>
            <a:xfrm>
              <a:off x="6004042" y="17556290"/>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5F59D7F-97A1-4C8E-8A48-E67A9D6D6A33}"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5">
          <xdr:nvSpPr>
            <xdr:cNvPr id="192" name="テキスト ボックス 191">
              <a:extLst>
                <a:ext uri="{FF2B5EF4-FFF2-40B4-BE49-F238E27FC236}">
                  <a16:creationId xmlns:a16="http://schemas.microsoft.com/office/drawing/2014/main" id="{00000000-0008-0000-0A00-0000C0000000}"/>
                </a:ext>
              </a:extLst>
            </xdr:cNvPr>
            <xdr:cNvSpPr txBox="1"/>
          </xdr:nvSpPr>
          <xdr:spPr>
            <a:xfrm>
              <a:off x="5257917" y="17921416"/>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28CD1E04-D1E1-469E-93FA-200526044E32}"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5">
          <xdr:nvSpPr>
            <xdr:cNvPr id="193" name="テキスト ボックス 192">
              <a:extLst>
                <a:ext uri="{FF2B5EF4-FFF2-40B4-BE49-F238E27FC236}">
                  <a16:creationId xmlns:a16="http://schemas.microsoft.com/office/drawing/2014/main" id="{00000000-0008-0000-0A00-0000C1000000}"/>
                </a:ext>
              </a:extLst>
            </xdr:cNvPr>
            <xdr:cNvSpPr txBox="1"/>
          </xdr:nvSpPr>
          <xdr:spPr>
            <a:xfrm>
              <a:off x="6004042" y="17921416"/>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1013DB8-8AEC-4F58-96D2-41D503B413E4}"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6">
          <xdr:nvSpPr>
            <xdr:cNvPr id="194" name="テキスト ボックス 193">
              <a:extLst>
                <a:ext uri="{FF2B5EF4-FFF2-40B4-BE49-F238E27FC236}">
                  <a16:creationId xmlns:a16="http://schemas.microsoft.com/office/drawing/2014/main" id="{00000000-0008-0000-0A00-0000C2000000}"/>
                </a:ext>
              </a:extLst>
            </xdr:cNvPr>
            <xdr:cNvSpPr txBox="1"/>
          </xdr:nvSpPr>
          <xdr:spPr>
            <a:xfrm>
              <a:off x="5265855" y="18278604"/>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C0ABC81-B476-4DF3-89C8-048CFD397944}"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6">
          <xdr:nvSpPr>
            <xdr:cNvPr id="195" name="テキスト ボックス 194">
              <a:extLst>
                <a:ext uri="{FF2B5EF4-FFF2-40B4-BE49-F238E27FC236}">
                  <a16:creationId xmlns:a16="http://schemas.microsoft.com/office/drawing/2014/main" id="{00000000-0008-0000-0A00-0000C3000000}"/>
                </a:ext>
              </a:extLst>
            </xdr:cNvPr>
            <xdr:cNvSpPr txBox="1"/>
          </xdr:nvSpPr>
          <xdr:spPr>
            <a:xfrm>
              <a:off x="6011980" y="18278604"/>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19E7527-7CF6-4A40-BC6F-955D3D0EABD4}"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7">
          <xdr:nvSpPr>
            <xdr:cNvPr id="196" name="テキスト ボックス 195">
              <a:extLst>
                <a:ext uri="{FF2B5EF4-FFF2-40B4-BE49-F238E27FC236}">
                  <a16:creationId xmlns:a16="http://schemas.microsoft.com/office/drawing/2014/main" id="{00000000-0008-0000-0A00-0000C4000000}"/>
                </a:ext>
              </a:extLst>
            </xdr:cNvPr>
            <xdr:cNvSpPr txBox="1"/>
          </xdr:nvSpPr>
          <xdr:spPr>
            <a:xfrm>
              <a:off x="5257916" y="18643728"/>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86F9541D-9918-4422-9956-5BB822D378F0}"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7">
          <xdr:nvSpPr>
            <xdr:cNvPr id="197" name="テキスト ボックス 196">
              <a:extLst>
                <a:ext uri="{FF2B5EF4-FFF2-40B4-BE49-F238E27FC236}">
                  <a16:creationId xmlns:a16="http://schemas.microsoft.com/office/drawing/2014/main" id="{00000000-0008-0000-0A00-0000C5000000}"/>
                </a:ext>
              </a:extLst>
            </xdr:cNvPr>
            <xdr:cNvSpPr txBox="1"/>
          </xdr:nvSpPr>
          <xdr:spPr>
            <a:xfrm>
              <a:off x="6004041" y="18643728"/>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8BF008F-C9F1-4CD5-AE86-65B077B72565}"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36">
          <xdr:nvSpPr>
            <xdr:cNvPr id="198" name="テキスト ボックス 197">
              <a:extLst>
                <a:ext uri="{FF2B5EF4-FFF2-40B4-BE49-F238E27FC236}">
                  <a16:creationId xmlns:a16="http://schemas.microsoft.com/office/drawing/2014/main" id="{00000000-0008-0000-0A00-0000C6000000}"/>
                </a:ext>
              </a:extLst>
            </xdr:cNvPr>
            <xdr:cNvSpPr txBox="1"/>
          </xdr:nvSpPr>
          <xdr:spPr>
            <a:xfrm>
              <a:off x="6821606" y="18286541"/>
              <a:ext cx="227012"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68C48EC-5201-4DBA-A5D8-CB505A804A63}"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37">
          <xdr:nvSpPr>
            <xdr:cNvPr id="199" name="テキスト ボックス 198">
              <a:extLst>
                <a:ext uri="{FF2B5EF4-FFF2-40B4-BE49-F238E27FC236}">
                  <a16:creationId xmlns:a16="http://schemas.microsoft.com/office/drawing/2014/main" id="{00000000-0008-0000-0A00-0000C7000000}"/>
                </a:ext>
              </a:extLst>
            </xdr:cNvPr>
            <xdr:cNvSpPr txBox="1"/>
          </xdr:nvSpPr>
          <xdr:spPr>
            <a:xfrm>
              <a:off x="6821606" y="18643729"/>
              <a:ext cx="227012"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A3A7398-EBA6-45CD-B14F-E03774E33C6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8">
          <xdr:nvSpPr>
            <xdr:cNvPr id="200" name="テキスト ボックス 199">
              <a:extLst>
                <a:ext uri="{FF2B5EF4-FFF2-40B4-BE49-F238E27FC236}">
                  <a16:creationId xmlns:a16="http://schemas.microsoft.com/office/drawing/2014/main" id="{00000000-0008-0000-0A00-0000C8000000}"/>
                </a:ext>
              </a:extLst>
            </xdr:cNvPr>
            <xdr:cNvSpPr txBox="1"/>
          </xdr:nvSpPr>
          <xdr:spPr>
            <a:xfrm>
              <a:off x="1043105" y="19532727"/>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3184297-EABA-4400-950E-6CCBFDC5347C}"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8">
          <xdr:nvSpPr>
            <xdr:cNvPr id="201" name="テキスト ボックス 200">
              <a:extLst>
                <a:ext uri="{FF2B5EF4-FFF2-40B4-BE49-F238E27FC236}">
                  <a16:creationId xmlns:a16="http://schemas.microsoft.com/office/drawing/2014/main" id="{00000000-0008-0000-0A00-0000C9000000}"/>
                </a:ext>
              </a:extLst>
            </xdr:cNvPr>
            <xdr:cNvSpPr txBox="1"/>
          </xdr:nvSpPr>
          <xdr:spPr>
            <a:xfrm>
              <a:off x="1670167" y="19532727"/>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8EB915C2-6E72-4BBA-9F5D-1653D47DE51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38">
          <xdr:nvSpPr>
            <xdr:cNvPr id="202" name="テキスト ボックス 201">
              <a:extLst>
                <a:ext uri="{FF2B5EF4-FFF2-40B4-BE49-F238E27FC236}">
                  <a16:creationId xmlns:a16="http://schemas.microsoft.com/office/drawing/2014/main" id="{00000000-0008-0000-0A00-0000CA000000}"/>
                </a:ext>
              </a:extLst>
            </xdr:cNvPr>
            <xdr:cNvSpPr txBox="1"/>
          </xdr:nvSpPr>
          <xdr:spPr>
            <a:xfrm>
              <a:off x="2416293" y="19545428"/>
              <a:ext cx="219075"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3E11580-09A0-4E13-B4A2-83D136ECF7D2}"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4">
          <xdr:nvSpPr>
            <xdr:cNvPr id="203" name="テキスト ボックス 202">
              <a:extLst>
                <a:ext uri="{FF2B5EF4-FFF2-40B4-BE49-F238E27FC236}">
                  <a16:creationId xmlns:a16="http://schemas.microsoft.com/office/drawing/2014/main" id="{00000000-0008-0000-0A00-0000CB000000}"/>
                </a:ext>
              </a:extLst>
            </xdr:cNvPr>
            <xdr:cNvSpPr txBox="1"/>
          </xdr:nvSpPr>
          <xdr:spPr>
            <a:xfrm>
              <a:off x="4646730" y="19545428"/>
              <a:ext cx="227013"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25F873E-8500-436F-BED1-AE17009552C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4">
          <xdr:nvSpPr>
            <xdr:cNvPr id="204" name="テキスト ボックス 203">
              <a:extLst>
                <a:ext uri="{FF2B5EF4-FFF2-40B4-BE49-F238E27FC236}">
                  <a16:creationId xmlns:a16="http://schemas.microsoft.com/office/drawing/2014/main" id="{00000000-0008-0000-0A00-0000CC000000}"/>
                </a:ext>
              </a:extLst>
            </xdr:cNvPr>
            <xdr:cNvSpPr txBox="1"/>
          </xdr:nvSpPr>
          <xdr:spPr>
            <a:xfrm>
              <a:off x="5265856" y="19545428"/>
              <a:ext cx="219075"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DC6419B-73E6-4724-9111-1AA8CD321B63}"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4">
          <xdr:nvSpPr>
            <xdr:cNvPr id="205" name="テキスト ボックス 204">
              <a:extLst>
                <a:ext uri="{FF2B5EF4-FFF2-40B4-BE49-F238E27FC236}">
                  <a16:creationId xmlns:a16="http://schemas.microsoft.com/office/drawing/2014/main" id="{00000000-0008-0000-0A00-0000CD000000}"/>
                </a:ext>
              </a:extLst>
            </xdr:cNvPr>
            <xdr:cNvSpPr txBox="1"/>
          </xdr:nvSpPr>
          <xdr:spPr>
            <a:xfrm>
              <a:off x="6011980" y="19545428"/>
              <a:ext cx="219075"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C3980FB-907F-47A0-A472-FB4B58C85933}"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39">
          <xdr:nvSpPr>
            <xdr:cNvPr id="206" name="テキスト ボックス 205">
              <a:extLst>
                <a:ext uri="{FF2B5EF4-FFF2-40B4-BE49-F238E27FC236}">
                  <a16:creationId xmlns:a16="http://schemas.microsoft.com/office/drawing/2014/main" id="{00000000-0008-0000-0A00-0000CE000000}"/>
                </a:ext>
              </a:extLst>
            </xdr:cNvPr>
            <xdr:cNvSpPr txBox="1"/>
          </xdr:nvSpPr>
          <xdr:spPr>
            <a:xfrm>
              <a:off x="1043105" y="19894677"/>
              <a:ext cx="219075"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8648D671-4040-49CC-8D77-280C082C403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39">
          <xdr:nvSpPr>
            <xdr:cNvPr id="207" name="テキスト ボックス 206">
              <a:extLst>
                <a:ext uri="{FF2B5EF4-FFF2-40B4-BE49-F238E27FC236}">
                  <a16:creationId xmlns:a16="http://schemas.microsoft.com/office/drawing/2014/main" id="{00000000-0008-0000-0A00-0000CF000000}"/>
                </a:ext>
              </a:extLst>
            </xdr:cNvPr>
            <xdr:cNvSpPr txBox="1"/>
          </xdr:nvSpPr>
          <xdr:spPr>
            <a:xfrm>
              <a:off x="1670167" y="19894677"/>
              <a:ext cx="219075"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7A1D5E0-ECFB-4D6A-9AF1-82ED728D2C58}"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39">
          <xdr:nvSpPr>
            <xdr:cNvPr id="208" name="テキスト ボックス 207">
              <a:extLst>
                <a:ext uri="{FF2B5EF4-FFF2-40B4-BE49-F238E27FC236}">
                  <a16:creationId xmlns:a16="http://schemas.microsoft.com/office/drawing/2014/main" id="{00000000-0008-0000-0A00-0000D0000000}"/>
                </a:ext>
              </a:extLst>
            </xdr:cNvPr>
            <xdr:cNvSpPr txBox="1"/>
          </xdr:nvSpPr>
          <xdr:spPr>
            <a:xfrm>
              <a:off x="2416293" y="19902615"/>
              <a:ext cx="219075"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FBCD406-CA53-4512-AAF2-46DF456D405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5">
          <xdr:nvSpPr>
            <xdr:cNvPr id="209" name="テキスト ボックス 208">
              <a:extLst>
                <a:ext uri="{FF2B5EF4-FFF2-40B4-BE49-F238E27FC236}">
                  <a16:creationId xmlns:a16="http://schemas.microsoft.com/office/drawing/2014/main" id="{00000000-0008-0000-0A00-0000D1000000}"/>
                </a:ext>
              </a:extLst>
            </xdr:cNvPr>
            <xdr:cNvSpPr txBox="1"/>
          </xdr:nvSpPr>
          <xdr:spPr>
            <a:xfrm>
              <a:off x="4646730" y="19902615"/>
              <a:ext cx="227013"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D951EAE-EAAC-40F9-9206-33E136EBDC94}"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5">
          <xdr:nvSpPr>
            <xdr:cNvPr id="210" name="テキスト ボックス 209">
              <a:extLst>
                <a:ext uri="{FF2B5EF4-FFF2-40B4-BE49-F238E27FC236}">
                  <a16:creationId xmlns:a16="http://schemas.microsoft.com/office/drawing/2014/main" id="{00000000-0008-0000-0A00-0000D2000000}"/>
                </a:ext>
              </a:extLst>
            </xdr:cNvPr>
            <xdr:cNvSpPr txBox="1"/>
          </xdr:nvSpPr>
          <xdr:spPr>
            <a:xfrm>
              <a:off x="5265856" y="19902615"/>
              <a:ext cx="219075"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DD92FF5-7C3C-4AC1-AEB0-B65AD608028A}"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5">
          <xdr:nvSpPr>
            <xdr:cNvPr id="211" name="テキスト ボックス 210">
              <a:extLst>
                <a:ext uri="{FF2B5EF4-FFF2-40B4-BE49-F238E27FC236}">
                  <a16:creationId xmlns:a16="http://schemas.microsoft.com/office/drawing/2014/main" id="{00000000-0008-0000-0A00-0000D3000000}"/>
                </a:ext>
              </a:extLst>
            </xdr:cNvPr>
            <xdr:cNvSpPr txBox="1"/>
          </xdr:nvSpPr>
          <xdr:spPr>
            <a:xfrm>
              <a:off x="6011980" y="19902615"/>
              <a:ext cx="219075" cy="24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45759E5-7EA4-44D8-8997-A569931C2BC9}"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0">
          <xdr:nvSpPr>
            <xdr:cNvPr id="212" name="テキスト ボックス 211">
              <a:extLst>
                <a:ext uri="{FF2B5EF4-FFF2-40B4-BE49-F238E27FC236}">
                  <a16:creationId xmlns:a16="http://schemas.microsoft.com/office/drawing/2014/main" id="{00000000-0008-0000-0A00-0000D4000000}"/>
                </a:ext>
              </a:extLst>
            </xdr:cNvPr>
            <xdr:cNvSpPr txBox="1"/>
          </xdr:nvSpPr>
          <xdr:spPr>
            <a:xfrm>
              <a:off x="1043104" y="20262976"/>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C761540-27A9-4B99-931A-6107AD7FB988}"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0">
          <xdr:nvSpPr>
            <xdr:cNvPr id="213" name="テキスト ボックス 212">
              <a:extLst>
                <a:ext uri="{FF2B5EF4-FFF2-40B4-BE49-F238E27FC236}">
                  <a16:creationId xmlns:a16="http://schemas.microsoft.com/office/drawing/2014/main" id="{00000000-0008-0000-0A00-0000D5000000}"/>
                </a:ext>
              </a:extLst>
            </xdr:cNvPr>
            <xdr:cNvSpPr txBox="1"/>
          </xdr:nvSpPr>
          <xdr:spPr>
            <a:xfrm>
              <a:off x="1670166" y="20262976"/>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BBA6557-57F2-4C70-8027-D461C1FB7FA2}"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0">
          <xdr:nvSpPr>
            <xdr:cNvPr id="214" name="テキスト ボックス 213">
              <a:extLst>
                <a:ext uri="{FF2B5EF4-FFF2-40B4-BE49-F238E27FC236}">
                  <a16:creationId xmlns:a16="http://schemas.microsoft.com/office/drawing/2014/main" id="{00000000-0008-0000-0A00-0000D6000000}"/>
                </a:ext>
              </a:extLst>
            </xdr:cNvPr>
            <xdr:cNvSpPr txBox="1"/>
          </xdr:nvSpPr>
          <xdr:spPr>
            <a:xfrm>
              <a:off x="2416292" y="20270914"/>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D211F48-5861-485D-88F7-7479A2A13FB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6">
          <xdr:nvSpPr>
            <xdr:cNvPr id="215" name="テキスト ボックス 214">
              <a:extLst>
                <a:ext uri="{FF2B5EF4-FFF2-40B4-BE49-F238E27FC236}">
                  <a16:creationId xmlns:a16="http://schemas.microsoft.com/office/drawing/2014/main" id="{00000000-0008-0000-0A00-0000D7000000}"/>
                </a:ext>
              </a:extLst>
            </xdr:cNvPr>
            <xdr:cNvSpPr txBox="1"/>
          </xdr:nvSpPr>
          <xdr:spPr>
            <a:xfrm>
              <a:off x="4646729" y="20270914"/>
              <a:ext cx="227013"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22922910-03F7-4BD5-82EE-3780ED0C8CB8}"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6">
          <xdr:nvSpPr>
            <xdr:cNvPr id="216" name="テキスト ボックス 215">
              <a:extLst>
                <a:ext uri="{FF2B5EF4-FFF2-40B4-BE49-F238E27FC236}">
                  <a16:creationId xmlns:a16="http://schemas.microsoft.com/office/drawing/2014/main" id="{00000000-0008-0000-0A00-0000D8000000}"/>
                </a:ext>
              </a:extLst>
            </xdr:cNvPr>
            <xdr:cNvSpPr txBox="1"/>
          </xdr:nvSpPr>
          <xdr:spPr>
            <a:xfrm>
              <a:off x="5265855" y="20270914"/>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797026A-B1F7-4F88-B0F9-D0A860EE005E}"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6">
          <xdr:nvSpPr>
            <xdr:cNvPr id="217" name="テキスト ボックス 216">
              <a:extLst>
                <a:ext uri="{FF2B5EF4-FFF2-40B4-BE49-F238E27FC236}">
                  <a16:creationId xmlns:a16="http://schemas.microsoft.com/office/drawing/2014/main" id="{00000000-0008-0000-0A00-0000D9000000}"/>
                </a:ext>
              </a:extLst>
            </xdr:cNvPr>
            <xdr:cNvSpPr txBox="1"/>
          </xdr:nvSpPr>
          <xdr:spPr>
            <a:xfrm>
              <a:off x="6011979" y="20270914"/>
              <a:ext cx="219075" cy="249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F586F2A-8BC3-4665-8AF6-D814F6DC19BE}"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1">
          <xdr:nvSpPr>
            <xdr:cNvPr id="218" name="テキスト ボックス 217">
              <a:extLst>
                <a:ext uri="{FF2B5EF4-FFF2-40B4-BE49-F238E27FC236}">
                  <a16:creationId xmlns:a16="http://schemas.microsoft.com/office/drawing/2014/main" id="{00000000-0008-0000-0A00-0000DA000000}"/>
                </a:ext>
              </a:extLst>
            </xdr:cNvPr>
            <xdr:cNvSpPr txBox="1"/>
          </xdr:nvSpPr>
          <xdr:spPr>
            <a:xfrm>
              <a:off x="1043103" y="20628101"/>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A329B265-51F7-4923-BF3F-F907AAFD582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1">
          <xdr:nvSpPr>
            <xdr:cNvPr id="219" name="テキスト ボックス 218">
              <a:extLst>
                <a:ext uri="{FF2B5EF4-FFF2-40B4-BE49-F238E27FC236}">
                  <a16:creationId xmlns:a16="http://schemas.microsoft.com/office/drawing/2014/main" id="{00000000-0008-0000-0A00-0000DB000000}"/>
                </a:ext>
              </a:extLst>
            </xdr:cNvPr>
            <xdr:cNvSpPr txBox="1"/>
          </xdr:nvSpPr>
          <xdr:spPr>
            <a:xfrm>
              <a:off x="1670165" y="20628101"/>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56079B6-E947-47A4-9294-C28D1DBA8477}"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1">
          <xdr:nvSpPr>
            <xdr:cNvPr id="220" name="テキスト ボックス 219">
              <a:extLst>
                <a:ext uri="{FF2B5EF4-FFF2-40B4-BE49-F238E27FC236}">
                  <a16:creationId xmlns:a16="http://schemas.microsoft.com/office/drawing/2014/main" id="{00000000-0008-0000-0A00-0000DC000000}"/>
                </a:ext>
              </a:extLst>
            </xdr:cNvPr>
            <xdr:cNvSpPr txBox="1"/>
          </xdr:nvSpPr>
          <xdr:spPr>
            <a:xfrm>
              <a:off x="2416291" y="20636039"/>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99A8017-6B59-4356-B0C5-C3B341409EF3}"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7">
          <xdr:nvSpPr>
            <xdr:cNvPr id="221" name="テキスト ボックス 220">
              <a:extLst>
                <a:ext uri="{FF2B5EF4-FFF2-40B4-BE49-F238E27FC236}">
                  <a16:creationId xmlns:a16="http://schemas.microsoft.com/office/drawing/2014/main" id="{00000000-0008-0000-0A00-0000DD000000}"/>
                </a:ext>
              </a:extLst>
            </xdr:cNvPr>
            <xdr:cNvSpPr txBox="1"/>
          </xdr:nvSpPr>
          <xdr:spPr>
            <a:xfrm>
              <a:off x="4646728" y="20636039"/>
              <a:ext cx="227013"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CB4C274-95E0-4859-A3ED-3302C301937D}"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7">
          <xdr:nvSpPr>
            <xdr:cNvPr id="222" name="テキスト ボックス 221">
              <a:extLst>
                <a:ext uri="{FF2B5EF4-FFF2-40B4-BE49-F238E27FC236}">
                  <a16:creationId xmlns:a16="http://schemas.microsoft.com/office/drawing/2014/main" id="{00000000-0008-0000-0A00-0000DE000000}"/>
                </a:ext>
              </a:extLst>
            </xdr:cNvPr>
            <xdr:cNvSpPr txBox="1"/>
          </xdr:nvSpPr>
          <xdr:spPr>
            <a:xfrm>
              <a:off x="5265854" y="20636039"/>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DEEE60B-5644-4E56-AEE4-B7DC791FCEA4}"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7">
          <xdr:nvSpPr>
            <xdr:cNvPr id="223" name="テキスト ボックス 222">
              <a:extLst>
                <a:ext uri="{FF2B5EF4-FFF2-40B4-BE49-F238E27FC236}">
                  <a16:creationId xmlns:a16="http://schemas.microsoft.com/office/drawing/2014/main" id="{00000000-0008-0000-0A00-0000DF000000}"/>
                </a:ext>
              </a:extLst>
            </xdr:cNvPr>
            <xdr:cNvSpPr txBox="1"/>
          </xdr:nvSpPr>
          <xdr:spPr>
            <a:xfrm>
              <a:off x="6011978" y="20636039"/>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A3A2FB0-6F92-4B91-BC03-3EE4EC3A0B5C}"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2">
          <xdr:nvSpPr>
            <xdr:cNvPr id="224" name="テキスト ボックス 223">
              <a:extLst>
                <a:ext uri="{FF2B5EF4-FFF2-40B4-BE49-F238E27FC236}">
                  <a16:creationId xmlns:a16="http://schemas.microsoft.com/office/drawing/2014/main" id="{00000000-0008-0000-0A00-0000E0000000}"/>
                </a:ext>
              </a:extLst>
            </xdr:cNvPr>
            <xdr:cNvSpPr txBox="1"/>
          </xdr:nvSpPr>
          <xdr:spPr>
            <a:xfrm>
              <a:off x="1035165" y="21001163"/>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920B9EB7-0B9B-4698-B061-61C2126738D0}"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2">
          <xdr:nvSpPr>
            <xdr:cNvPr id="225" name="テキスト ボックス 224">
              <a:extLst>
                <a:ext uri="{FF2B5EF4-FFF2-40B4-BE49-F238E27FC236}">
                  <a16:creationId xmlns:a16="http://schemas.microsoft.com/office/drawing/2014/main" id="{00000000-0008-0000-0A00-0000E1000000}"/>
                </a:ext>
              </a:extLst>
            </xdr:cNvPr>
            <xdr:cNvSpPr txBox="1"/>
          </xdr:nvSpPr>
          <xdr:spPr>
            <a:xfrm>
              <a:off x="1662227" y="21001163"/>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054B3A5-5150-4810-8B7B-E784535AB6FF}"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2">
          <xdr:nvSpPr>
            <xdr:cNvPr id="226" name="テキスト ボックス 225">
              <a:extLst>
                <a:ext uri="{FF2B5EF4-FFF2-40B4-BE49-F238E27FC236}">
                  <a16:creationId xmlns:a16="http://schemas.microsoft.com/office/drawing/2014/main" id="{00000000-0008-0000-0A00-0000E2000000}"/>
                </a:ext>
              </a:extLst>
            </xdr:cNvPr>
            <xdr:cNvSpPr txBox="1"/>
          </xdr:nvSpPr>
          <xdr:spPr>
            <a:xfrm>
              <a:off x="2408353" y="21009101"/>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4E87ACC-0F8A-4A46-AD76-F16C2EB41E7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8">
          <xdr:nvSpPr>
            <xdr:cNvPr id="227" name="テキスト ボックス 226">
              <a:extLst>
                <a:ext uri="{FF2B5EF4-FFF2-40B4-BE49-F238E27FC236}">
                  <a16:creationId xmlns:a16="http://schemas.microsoft.com/office/drawing/2014/main" id="{00000000-0008-0000-0A00-0000E3000000}"/>
                </a:ext>
              </a:extLst>
            </xdr:cNvPr>
            <xdr:cNvSpPr txBox="1"/>
          </xdr:nvSpPr>
          <xdr:spPr>
            <a:xfrm>
              <a:off x="4638790" y="21009101"/>
              <a:ext cx="227013"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5F54007-6282-4833-AAB9-75F37D3C72DE}"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8">
          <xdr:nvSpPr>
            <xdr:cNvPr id="228" name="テキスト ボックス 227">
              <a:extLst>
                <a:ext uri="{FF2B5EF4-FFF2-40B4-BE49-F238E27FC236}">
                  <a16:creationId xmlns:a16="http://schemas.microsoft.com/office/drawing/2014/main" id="{00000000-0008-0000-0A00-0000E4000000}"/>
                </a:ext>
              </a:extLst>
            </xdr:cNvPr>
            <xdr:cNvSpPr txBox="1"/>
          </xdr:nvSpPr>
          <xdr:spPr>
            <a:xfrm>
              <a:off x="5257916" y="21009101"/>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358791C-8CB8-419E-A045-CD37D69A2A75}"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8">
          <xdr:nvSpPr>
            <xdr:cNvPr id="229" name="テキスト ボックス 228">
              <a:extLst>
                <a:ext uri="{FF2B5EF4-FFF2-40B4-BE49-F238E27FC236}">
                  <a16:creationId xmlns:a16="http://schemas.microsoft.com/office/drawing/2014/main" id="{00000000-0008-0000-0A00-0000E5000000}"/>
                </a:ext>
              </a:extLst>
            </xdr:cNvPr>
            <xdr:cNvSpPr txBox="1"/>
          </xdr:nvSpPr>
          <xdr:spPr>
            <a:xfrm>
              <a:off x="6004040" y="21009101"/>
              <a:ext cx="21907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9C7AFD5-7876-47F3-B887-48A2AA7C5123}"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3">
          <xdr:nvSpPr>
            <xdr:cNvPr id="230" name="テキスト ボックス 229">
              <a:extLst>
                <a:ext uri="{FF2B5EF4-FFF2-40B4-BE49-F238E27FC236}">
                  <a16:creationId xmlns:a16="http://schemas.microsoft.com/office/drawing/2014/main" id="{00000000-0008-0000-0A00-0000E6000000}"/>
                </a:ext>
              </a:extLst>
            </xdr:cNvPr>
            <xdr:cNvSpPr txBox="1"/>
          </xdr:nvSpPr>
          <xdr:spPr>
            <a:xfrm>
              <a:off x="1043102" y="21358351"/>
              <a:ext cx="219075"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51CD63F-F5E8-4473-A08D-28D6B9C1C0ED}"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3">
          <xdr:nvSpPr>
            <xdr:cNvPr id="231" name="テキスト ボックス 230">
              <a:extLst>
                <a:ext uri="{FF2B5EF4-FFF2-40B4-BE49-F238E27FC236}">
                  <a16:creationId xmlns:a16="http://schemas.microsoft.com/office/drawing/2014/main" id="{00000000-0008-0000-0A00-0000E7000000}"/>
                </a:ext>
              </a:extLst>
            </xdr:cNvPr>
            <xdr:cNvSpPr txBox="1"/>
          </xdr:nvSpPr>
          <xdr:spPr>
            <a:xfrm>
              <a:off x="1670164" y="21358351"/>
              <a:ext cx="219075" cy="246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37186D1-B57F-4E3C-B083-8A1A9B7C59C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3">
          <xdr:nvSpPr>
            <xdr:cNvPr id="232" name="テキスト ボックス 231">
              <a:extLst>
                <a:ext uri="{FF2B5EF4-FFF2-40B4-BE49-F238E27FC236}">
                  <a16:creationId xmlns:a16="http://schemas.microsoft.com/office/drawing/2014/main" id="{00000000-0008-0000-0A00-0000E8000000}"/>
                </a:ext>
              </a:extLst>
            </xdr:cNvPr>
            <xdr:cNvSpPr txBox="1"/>
          </xdr:nvSpPr>
          <xdr:spPr>
            <a:xfrm>
              <a:off x="2416290" y="21358351"/>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5B111AC-945E-4BF3-B103-C85C60C89E58}"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H49">
          <xdr:nvSpPr>
            <xdr:cNvPr id="233" name="テキスト ボックス 232">
              <a:extLst>
                <a:ext uri="{FF2B5EF4-FFF2-40B4-BE49-F238E27FC236}">
                  <a16:creationId xmlns:a16="http://schemas.microsoft.com/office/drawing/2014/main" id="{00000000-0008-0000-0A00-0000E9000000}"/>
                </a:ext>
              </a:extLst>
            </xdr:cNvPr>
            <xdr:cNvSpPr txBox="1"/>
          </xdr:nvSpPr>
          <xdr:spPr>
            <a:xfrm>
              <a:off x="4646727" y="21358351"/>
              <a:ext cx="227013"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9C494B8-3070-48C5-894A-71B69C9354A5}"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I49">
          <xdr:nvSpPr>
            <xdr:cNvPr id="234" name="テキスト ボックス 233">
              <a:extLst>
                <a:ext uri="{FF2B5EF4-FFF2-40B4-BE49-F238E27FC236}">
                  <a16:creationId xmlns:a16="http://schemas.microsoft.com/office/drawing/2014/main" id="{00000000-0008-0000-0A00-0000EA000000}"/>
                </a:ext>
              </a:extLst>
            </xdr:cNvPr>
            <xdr:cNvSpPr txBox="1"/>
          </xdr:nvSpPr>
          <xdr:spPr>
            <a:xfrm>
              <a:off x="5265853" y="21358351"/>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1762E40-69D6-4D76-B64D-DE4B68604042}"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J49">
          <xdr:nvSpPr>
            <xdr:cNvPr id="235" name="テキスト ボックス 234">
              <a:extLst>
                <a:ext uri="{FF2B5EF4-FFF2-40B4-BE49-F238E27FC236}">
                  <a16:creationId xmlns:a16="http://schemas.microsoft.com/office/drawing/2014/main" id="{00000000-0008-0000-0A00-0000EB000000}"/>
                </a:ext>
              </a:extLst>
            </xdr:cNvPr>
            <xdr:cNvSpPr txBox="1"/>
          </xdr:nvSpPr>
          <xdr:spPr>
            <a:xfrm>
              <a:off x="6011977" y="21358351"/>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6378AAD-5A19-49AB-88B7-0A15939F8486}"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B40">
          <xdr:nvSpPr>
            <xdr:cNvPr id="331" name="テキスト ボックス 330">
              <a:extLst>
                <a:ext uri="{FF2B5EF4-FFF2-40B4-BE49-F238E27FC236}">
                  <a16:creationId xmlns:a16="http://schemas.microsoft.com/office/drawing/2014/main" id="{00000000-0008-0000-0A00-00004B010000}"/>
                </a:ext>
              </a:extLst>
            </xdr:cNvPr>
            <xdr:cNvSpPr txBox="1"/>
          </xdr:nvSpPr>
          <xdr:spPr>
            <a:xfrm>
              <a:off x="2191163" y="12391887"/>
              <a:ext cx="634862"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9CBA7EF-D545-4FD6-82B8-2C3902DB844E}" type="TxLink">
                <a:rPr kumimoji="1" lang="en-US" altLang="en-US" sz="1050" b="0" i="0" u="none" strike="noStrike" spc="910" baseline="0">
                  <a:solidFill>
                    <a:srgbClr val="000000"/>
                  </a:solidFill>
                  <a:latin typeface="OCRB" pitchFamily="49" charset="0"/>
                  <a:ea typeface="ＭＳ Ｐゴシック"/>
                </a:rPr>
                <a:pPr/>
                <a:t>342</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C40">
          <xdr:nvSpPr>
            <xdr:cNvPr id="332" name="テキスト ボックス 331">
              <a:extLst>
                <a:ext uri="{FF2B5EF4-FFF2-40B4-BE49-F238E27FC236}">
                  <a16:creationId xmlns:a16="http://schemas.microsoft.com/office/drawing/2014/main" id="{00000000-0008-0000-0A00-00004C010000}"/>
                </a:ext>
              </a:extLst>
            </xdr:cNvPr>
            <xdr:cNvSpPr txBox="1"/>
          </xdr:nvSpPr>
          <xdr:spPr>
            <a:xfrm>
              <a:off x="2826249" y="12391887"/>
              <a:ext cx="634861"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B8FC611-6223-43F4-8F1D-90C03900C391}" type="TxLink">
                <a:rPr kumimoji="1" lang="en-US" altLang="en-US" sz="1050" b="0" i="0" u="none" strike="noStrike" spc="910" baseline="0">
                  <a:solidFill>
                    <a:srgbClr val="000000"/>
                  </a:solidFill>
                  <a:latin typeface="OCRB" pitchFamily="49" charset="0"/>
                  <a:ea typeface="ＭＳ Ｐゴシック"/>
                </a:rPr>
                <a:pPr/>
                <a:t>055</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Q2">
          <xdr:nvSpPr>
            <xdr:cNvPr id="337" name="テキスト ボックス 336">
              <a:extLst>
                <a:ext uri="{FF2B5EF4-FFF2-40B4-BE49-F238E27FC236}">
                  <a16:creationId xmlns:a16="http://schemas.microsoft.com/office/drawing/2014/main" id="{00000000-0008-0000-0A00-000051010000}"/>
                </a:ext>
              </a:extLst>
            </xdr:cNvPr>
            <xdr:cNvSpPr txBox="1"/>
          </xdr:nvSpPr>
          <xdr:spPr>
            <a:xfrm>
              <a:off x="4108587" y="12381120"/>
              <a:ext cx="536300"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676A292-54A5-477E-8580-F9F93C2ED531}" type="TxLink">
                <a:rPr kumimoji="1" lang="en-US" altLang="en-US" sz="1050" b="0" i="0" u="none" strike="noStrike" spc="910" baseline="0">
                  <a:solidFill>
                    <a:srgbClr val="000000"/>
                  </a:solidFill>
                  <a:latin typeface="OCRB" pitchFamily="49" charset="0"/>
                  <a:ea typeface="ＭＳ Ｐゴシック"/>
                </a:rPr>
                <a:pPr/>
                <a:t>000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S2">
          <xdr:nvSpPr>
            <xdr:cNvPr id="338" name="テキスト ボックス 337">
              <a:extLst>
                <a:ext uri="{FF2B5EF4-FFF2-40B4-BE49-F238E27FC236}">
                  <a16:creationId xmlns:a16="http://schemas.microsoft.com/office/drawing/2014/main" id="{00000000-0008-0000-0A00-000052010000}"/>
                </a:ext>
              </a:extLst>
            </xdr:cNvPr>
            <xdr:cNvSpPr txBox="1"/>
          </xdr:nvSpPr>
          <xdr:spPr>
            <a:xfrm>
              <a:off x="4730415" y="12381120"/>
              <a:ext cx="582019"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F3C61E32-25DE-4BC2-90FD-09064F2380DB}" type="TxLink">
                <a:rPr kumimoji="1" lang="en-US" altLang="en-US" sz="1050" b="0" i="0" u="none" strike="noStrike" spc="910" baseline="0">
                  <a:solidFill>
                    <a:srgbClr val="000000"/>
                  </a:solidFill>
                  <a:latin typeface="OCRB" pitchFamily="49" charset="0"/>
                  <a:ea typeface="ＭＳ Ｐゴシック"/>
                </a:rPr>
                <a:pPr/>
                <a:t>000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U2">
          <xdr:nvSpPr>
            <xdr:cNvPr id="339" name="テキスト ボックス 338">
              <a:extLst>
                <a:ext uri="{FF2B5EF4-FFF2-40B4-BE49-F238E27FC236}">
                  <a16:creationId xmlns:a16="http://schemas.microsoft.com/office/drawing/2014/main" id="{00000000-0008-0000-0A00-000053010000}"/>
                </a:ext>
              </a:extLst>
            </xdr:cNvPr>
            <xdr:cNvSpPr txBox="1"/>
          </xdr:nvSpPr>
          <xdr:spPr>
            <a:xfrm>
              <a:off x="5348047" y="12381120"/>
              <a:ext cx="738395"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2CDD2BCA-ADDF-44AA-AA21-4D635A473CE8}" type="TxLink">
                <a:rPr kumimoji="1" lang="en-US" altLang="en-US" sz="1050" b="0" i="0" u="none" strike="noStrike" spc="910" baseline="0">
                  <a:solidFill>
                    <a:srgbClr val="000000"/>
                  </a:solidFill>
                  <a:latin typeface="OCRB" pitchFamily="49" charset="0"/>
                  <a:ea typeface="ＭＳ Ｐゴシック"/>
                </a:rPr>
                <a:pPr/>
                <a:t>0000</a:t>
              </a:fld>
              <a:endParaRPr kumimoji="1" lang="en-US" altLang="en-US" sz="1050" b="0" i="0" u="none" strike="noStrike" spc="910" baseline="0">
                <a:solidFill>
                  <a:srgbClr val="000000"/>
                </a:solidFill>
                <a:latin typeface="OCRB" pitchFamily="49" charset="0"/>
                <a:ea typeface="ＭＳ Ｐゴシック"/>
              </a:endParaRPr>
            </a:p>
          </xdr:txBody>
        </xdr:sp>
        <xdr:pic>
          <xdr:nvPicPr>
            <xdr:cNvPr id="356" name="図 355">
              <a:extLst>
                <a:ext uri="{FF2B5EF4-FFF2-40B4-BE49-F238E27FC236}">
                  <a16:creationId xmlns:a16="http://schemas.microsoft.com/office/drawing/2014/main" id="{00000000-0008-0000-0A00-0000640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1050" y="11883495"/>
              <a:ext cx="504825" cy="30850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3" name="図 402">
              <a:extLst>
                <a:ext uri="{FF2B5EF4-FFF2-40B4-BE49-F238E27FC236}">
                  <a16:creationId xmlns:a16="http://schemas.microsoft.com/office/drawing/2014/main" id="{00000000-0008-0000-0A00-00009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0579" y="11887204"/>
              <a:ext cx="486224" cy="32694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0" name="グループ化 39">
            <a:extLst>
              <a:ext uri="{FF2B5EF4-FFF2-40B4-BE49-F238E27FC236}">
                <a16:creationId xmlns:a16="http://schemas.microsoft.com/office/drawing/2014/main" id="{00000000-0008-0000-0A00-000028000000}"/>
              </a:ext>
            </a:extLst>
          </xdr:cNvPr>
          <xdr:cNvGrpSpPr/>
        </xdr:nvGrpSpPr>
        <xdr:grpSpPr>
          <a:xfrm>
            <a:off x="95252" y="22945727"/>
            <a:ext cx="7442278" cy="10639425"/>
            <a:chOff x="95252" y="22945727"/>
            <a:chExt cx="7442278" cy="10639425"/>
          </a:xfrm>
        </xdr:grpSpPr>
        <xdr:pic>
          <xdr:nvPicPr>
            <xdr:cNvPr id="236" name="Picture 1">
              <a:extLst>
                <a:ext uri="{FF2B5EF4-FFF2-40B4-BE49-F238E27FC236}">
                  <a16:creationId xmlns:a16="http://schemas.microsoft.com/office/drawing/2014/main" id="{00000000-0008-0000-0A00-0000E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252" y="22945727"/>
              <a:ext cx="7442278" cy="10639425"/>
            </a:xfrm>
            <a:prstGeom prst="rect">
              <a:avLst/>
            </a:prstGeom>
            <a:noFill/>
            <a:ln w="1">
              <a:noFill/>
              <a:miter lim="800000"/>
              <a:headEnd/>
              <a:tailEnd type="none" w="med" len="med"/>
            </a:ln>
            <a:effectLst/>
          </xdr:spPr>
        </xdr:pic>
        <xdr:sp macro="" textlink="計算シート!J50">
          <xdr:nvSpPr>
            <xdr:cNvPr id="239" name="テキスト ボックス 238">
              <a:extLst>
                <a:ext uri="{FF2B5EF4-FFF2-40B4-BE49-F238E27FC236}">
                  <a16:creationId xmlns:a16="http://schemas.microsoft.com/office/drawing/2014/main" id="{00000000-0008-0000-0A00-0000EF000000}"/>
                </a:ext>
              </a:extLst>
            </xdr:cNvPr>
            <xdr:cNvSpPr txBox="1"/>
          </xdr:nvSpPr>
          <xdr:spPr>
            <a:xfrm>
              <a:off x="2541955" y="24367883"/>
              <a:ext cx="216144"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975ACC2B-B758-4B60-A935-EFB1A2697C58}"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0">
          <xdr:nvSpPr>
            <xdr:cNvPr id="240" name="テキスト ボックス 239">
              <a:extLst>
                <a:ext uri="{FF2B5EF4-FFF2-40B4-BE49-F238E27FC236}">
                  <a16:creationId xmlns:a16="http://schemas.microsoft.com/office/drawing/2014/main" id="{00000000-0008-0000-0A00-0000F0000000}"/>
                </a:ext>
              </a:extLst>
            </xdr:cNvPr>
            <xdr:cNvSpPr txBox="1"/>
          </xdr:nvSpPr>
          <xdr:spPr>
            <a:xfrm>
              <a:off x="1797539" y="24367883"/>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F49BF8C3-8852-4A1C-9FD9-FC14EB7F3A1A}"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0">
          <xdr:nvSpPr>
            <xdr:cNvPr id="241" name="テキスト ボックス 240">
              <a:extLst>
                <a:ext uri="{FF2B5EF4-FFF2-40B4-BE49-F238E27FC236}">
                  <a16:creationId xmlns:a16="http://schemas.microsoft.com/office/drawing/2014/main" id="{00000000-0008-0000-0A00-0000F1000000}"/>
                </a:ext>
              </a:extLst>
            </xdr:cNvPr>
            <xdr:cNvSpPr txBox="1"/>
          </xdr:nvSpPr>
          <xdr:spPr>
            <a:xfrm>
              <a:off x="1155700" y="24367883"/>
              <a:ext cx="219075"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621C93D5-43C2-4D79-B4BA-B0882473EA2D}"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51">
          <xdr:nvSpPr>
            <xdr:cNvPr id="242" name="テキスト ボックス 241">
              <a:extLst>
                <a:ext uri="{FF2B5EF4-FFF2-40B4-BE49-F238E27FC236}">
                  <a16:creationId xmlns:a16="http://schemas.microsoft.com/office/drawing/2014/main" id="{00000000-0008-0000-0A00-0000F2000000}"/>
                </a:ext>
              </a:extLst>
            </xdr:cNvPr>
            <xdr:cNvSpPr txBox="1"/>
          </xdr:nvSpPr>
          <xdr:spPr>
            <a:xfrm>
              <a:off x="2534628" y="24740090"/>
              <a:ext cx="214313"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81F6B089-9700-40FC-98F3-D1251A4B162C}"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1">
          <xdr:nvSpPr>
            <xdr:cNvPr id="243" name="テキスト ボックス 242">
              <a:extLst>
                <a:ext uri="{FF2B5EF4-FFF2-40B4-BE49-F238E27FC236}">
                  <a16:creationId xmlns:a16="http://schemas.microsoft.com/office/drawing/2014/main" id="{00000000-0008-0000-0A00-0000F3000000}"/>
                </a:ext>
              </a:extLst>
            </xdr:cNvPr>
            <xdr:cNvSpPr txBox="1"/>
          </xdr:nvSpPr>
          <xdr:spPr>
            <a:xfrm>
              <a:off x="1790212" y="24740090"/>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A430029A-15F6-4E56-95CD-C7F2DFB9BEDB}"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1">
          <xdr:nvSpPr>
            <xdr:cNvPr id="244" name="テキスト ボックス 243">
              <a:extLst>
                <a:ext uri="{FF2B5EF4-FFF2-40B4-BE49-F238E27FC236}">
                  <a16:creationId xmlns:a16="http://schemas.microsoft.com/office/drawing/2014/main" id="{00000000-0008-0000-0A00-0000F4000000}"/>
                </a:ext>
              </a:extLst>
            </xdr:cNvPr>
            <xdr:cNvSpPr txBox="1"/>
          </xdr:nvSpPr>
          <xdr:spPr>
            <a:xfrm>
              <a:off x="1148373" y="24740090"/>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72921685-F342-4A48-9877-21A04F03BB97}"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52">
          <xdr:nvSpPr>
            <xdr:cNvPr id="245" name="テキスト ボックス 244">
              <a:extLst>
                <a:ext uri="{FF2B5EF4-FFF2-40B4-BE49-F238E27FC236}">
                  <a16:creationId xmlns:a16="http://schemas.microsoft.com/office/drawing/2014/main" id="{00000000-0008-0000-0A00-0000F5000000}"/>
                </a:ext>
              </a:extLst>
            </xdr:cNvPr>
            <xdr:cNvSpPr txBox="1"/>
          </xdr:nvSpPr>
          <xdr:spPr>
            <a:xfrm>
              <a:off x="6861909" y="24353229"/>
              <a:ext cx="216144"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7260794C-AA3D-44DC-B6D7-3AF45A292305}"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2">
          <xdr:nvSpPr>
            <xdr:cNvPr id="246" name="テキスト ボックス 245">
              <a:extLst>
                <a:ext uri="{FF2B5EF4-FFF2-40B4-BE49-F238E27FC236}">
                  <a16:creationId xmlns:a16="http://schemas.microsoft.com/office/drawing/2014/main" id="{00000000-0008-0000-0A00-0000F6000000}"/>
                </a:ext>
              </a:extLst>
            </xdr:cNvPr>
            <xdr:cNvSpPr txBox="1"/>
          </xdr:nvSpPr>
          <xdr:spPr>
            <a:xfrm>
              <a:off x="6168783" y="24353229"/>
              <a:ext cx="216144"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78824200-D45B-47EE-BBC3-0F10C006EABF}"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2">
          <xdr:nvSpPr>
            <xdr:cNvPr id="247" name="テキスト ボックス 246">
              <a:extLst>
                <a:ext uri="{FF2B5EF4-FFF2-40B4-BE49-F238E27FC236}">
                  <a16:creationId xmlns:a16="http://schemas.microsoft.com/office/drawing/2014/main" id="{00000000-0008-0000-0A00-0000F7000000}"/>
                </a:ext>
              </a:extLst>
            </xdr:cNvPr>
            <xdr:cNvSpPr txBox="1"/>
          </xdr:nvSpPr>
          <xdr:spPr>
            <a:xfrm>
              <a:off x="5424366" y="24353229"/>
              <a:ext cx="216144" cy="254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D4BDCF6C-7BD4-421C-B01B-E613C9AF4870}"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53">
          <xdr:nvSpPr>
            <xdr:cNvPr id="248" name="テキスト ボックス 247">
              <a:extLst>
                <a:ext uri="{FF2B5EF4-FFF2-40B4-BE49-F238E27FC236}">
                  <a16:creationId xmlns:a16="http://schemas.microsoft.com/office/drawing/2014/main" id="{00000000-0008-0000-0A00-0000F8000000}"/>
                </a:ext>
              </a:extLst>
            </xdr:cNvPr>
            <xdr:cNvSpPr txBox="1"/>
          </xdr:nvSpPr>
          <xdr:spPr>
            <a:xfrm>
              <a:off x="2541955" y="25342364"/>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C557D0F0-84CF-4CE9-9610-4CAB4310A21C}"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3">
          <xdr:nvSpPr>
            <xdr:cNvPr id="249" name="テキスト ボックス 248">
              <a:extLst>
                <a:ext uri="{FF2B5EF4-FFF2-40B4-BE49-F238E27FC236}">
                  <a16:creationId xmlns:a16="http://schemas.microsoft.com/office/drawing/2014/main" id="{00000000-0008-0000-0A00-0000F9000000}"/>
                </a:ext>
              </a:extLst>
            </xdr:cNvPr>
            <xdr:cNvSpPr txBox="1"/>
          </xdr:nvSpPr>
          <xdr:spPr>
            <a:xfrm>
              <a:off x="1797539" y="25342364"/>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FF21E8C4-EED3-401C-A313-79AE169EA951}"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3">
          <xdr:nvSpPr>
            <xdr:cNvPr id="250" name="テキスト ボックス 249">
              <a:extLst>
                <a:ext uri="{FF2B5EF4-FFF2-40B4-BE49-F238E27FC236}">
                  <a16:creationId xmlns:a16="http://schemas.microsoft.com/office/drawing/2014/main" id="{00000000-0008-0000-0A00-0000FA000000}"/>
                </a:ext>
              </a:extLst>
            </xdr:cNvPr>
            <xdr:cNvSpPr txBox="1"/>
          </xdr:nvSpPr>
          <xdr:spPr>
            <a:xfrm>
              <a:off x="1155700" y="25342364"/>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C3A2A969-670C-4E67-8AA1-CD567EBACD92}"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54">
          <xdr:nvSpPr>
            <xdr:cNvPr id="251" name="テキスト ボックス 250">
              <a:extLst>
                <a:ext uri="{FF2B5EF4-FFF2-40B4-BE49-F238E27FC236}">
                  <a16:creationId xmlns:a16="http://schemas.microsoft.com/office/drawing/2014/main" id="{00000000-0008-0000-0A00-0000FB000000}"/>
                </a:ext>
              </a:extLst>
            </xdr:cNvPr>
            <xdr:cNvSpPr txBox="1"/>
          </xdr:nvSpPr>
          <xdr:spPr>
            <a:xfrm>
              <a:off x="2541955" y="25707244"/>
              <a:ext cx="216144"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C8E648B1-8913-479E-9BDF-C6688959A6BC}"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4">
          <xdr:nvSpPr>
            <xdr:cNvPr id="252" name="テキスト ボックス 251">
              <a:extLst>
                <a:ext uri="{FF2B5EF4-FFF2-40B4-BE49-F238E27FC236}">
                  <a16:creationId xmlns:a16="http://schemas.microsoft.com/office/drawing/2014/main" id="{00000000-0008-0000-0A00-0000FC000000}"/>
                </a:ext>
              </a:extLst>
            </xdr:cNvPr>
            <xdr:cNvSpPr txBox="1"/>
          </xdr:nvSpPr>
          <xdr:spPr>
            <a:xfrm>
              <a:off x="1797539" y="25707244"/>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B42DD4B1-04B8-4D89-8E67-1B03B64D9031}"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4">
          <xdr:nvSpPr>
            <xdr:cNvPr id="253" name="テキスト ボックス 252">
              <a:extLst>
                <a:ext uri="{FF2B5EF4-FFF2-40B4-BE49-F238E27FC236}">
                  <a16:creationId xmlns:a16="http://schemas.microsoft.com/office/drawing/2014/main" id="{00000000-0008-0000-0A00-0000FD000000}"/>
                </a:ext>
              </a:extLst>
            </xdr:cNvPr>
            <xdr:cNvSpPr txBox="1"/>
          </xdr:nvSpPr>
          <xdr:spPr>
            <a:xfrm>
              <a:off x="1155700" y="25707244"/>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6AADBD97-1A7A-42F5-A889-2C5F15F18813}"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55">
          <xdr:nvSpPr>
            <xdr:cNvPr id="254" name="テキスト ボックス 253">
              <a:extLst>
                <a:ext uri="{FF2B5EF4-FFF2-40B4-BE49-F238E27FC236}">
                  <a16:creationId xmlns:a16="http://schemas.microsoft.com/office/drawing/2014/main" id="{00000000-0008-0000-0A00-0000FE000000}"/>
                </a:ext>
              </a:extLst>
            </xdr:cNvPr>
            <xdr:cNvSpPr txBox="1"/>
          </xdr:nvSpPr>
          <xdr:spPr>
            <a:xfrm>
              <a:off x="2541955" y="26089709"/>
              <a:ext cx="216144"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96D8F16B-AEB9-491D-9C02-35FB188B41E0}"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5">
          <xdr:nvSpPr>
            <xdr:cNvPr id="255" name="テキスト ボックス 254">
              <a:extLst>
                <a:ext uri="{FF2B5EF4-FFF2-40B4-BE49-F238E27FC236}">
                  <a16:creationId xmlns:a16="http://schemas.microsoft.com/office/drawing/2014/main" id="{00000000-0008-0000-0A00-0000FF000000}"/>
                </a:ext>
              </a:extLst>
            </xdr:cNvPr>
            <xdr:cNvSpPr txBox="1"/>
          </xdr:nvSpPr>
          <xdr:spPr>
            <a:xfrm>
              <a:off x="1797539" y="26089709"/>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1BDA53F3-3E6C-4695-BB2C-36CCED93835E}"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5">
          <xdr:nvSpPr>
            <xdr:cNvPr id="256" name="テキスト ボックス 255">
              <a:extLst>
                <a:ext uri="{FF2B5EF4-FFF2-40B4-BE49-F238E27FC236}">
                  <a16:creationId xmlns:a16="http://schemas.microsoft.com/office/drawing/2014/main" id="{00000000-0008-0000-0A00-000000010000}"/>
                </a:ext>
              </a:extLst>
            </xdr:cNvPr>
            <xdr:cNvSpPr txBox="1"/>
          </xdr:nvSpPr>
          <xdr:spPr>
            <a:xfrm>
              <a:off x="1155700" y="26089709"/>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1F45F3D4-8EC8-45E2-A274-EE5546F77106}"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56">
          <xdr:nvSpPr>
            <xdr:cNvPr id="257" name="テキスト ボックス 256">
              <a:extLst>
                <a:ext uri="{FF2B5EF4-FFF2-40B4-BE49-F238E27FC236}">
                  <a16:creationId xmlns:a16="http://schemas.microsoft.com/office/drawing/2014/main" id="{00000000-0008-0000-0A00-000001010000}"/>
                </a:ext>
              </a:extLst>
            </xdr:cNvPr>
            <xdr:cNvSpPr txBox="1"/>
          </xdr:nvSpPr>
          <xdr:spPr>
            <a:xfrm>
              <a:off x="2541955" y="26461917"/>
              <a:ext cx="216144"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140D1BF7-255E-477F-9BAF-CC477A2D64CD}"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6">
          <xdr:nvSpPr>
            <xdr:cNvPr id="258" name="テキスト ボックス 257">
              <a:extLst>
                <a:ext uri="{FF2B5EF4-FFF2-40B4-BE49-F238E27FC236}">
                  <a16:creationId xmlns:a16="http://schemas.microsoft.com/office/drawing/2014/main" id="{00000000-0008-0000-0A00-000002010000}"/>
                </a:ext>
              </a:extLst>
            </xdr:cNvPr>
            <xdr:cNvSpPr txBox="1"/>
          </xdr:nvSpPr>
          <xdr:spPr>
            <a:xfrm>
              <a:off x="1797539" y="26461917"/>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BA45D453-419A-42E8-BC21-D05EAF8E6F1E}"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6">
          <xdr:nvSpPr>
            <xdr:cNvPr id="259" name="テキスト ボックス 258">
              <a:extLst>
                <a:ext uri="{FF2B5EF4-FFF2-40B4-BE49-F238E27FC236}">
                  <a16:creationId xmlns:a16="http://schemas.microsoft.com/office/drawing/2014/main" id="{00000000-0008-0000-0A00-000003010000}"/>
                </a:ext>
              </a:extLst>
            </xdr:cNvPr>
            <xdr:cNvSpPr txBox="1"/>
          </xdr:nvSpPr>
          <xdr:spPr>
            <a:xfrm>
              <a:off x="1155700" y="26461917"/>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5B74132A-B84C-468A-AC8C-D140CB8734CC}"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K55">
          <xdr:nvSpPr>
            <xdr:cNvPr id="260" name="テキスト ボックス 259">
              <a:extLst>
                <a:ext uri="{FF2B5EF4-FFF2-40B4-BE49-F238E27FC236}">
                  <a16:creationId xmlns:a16="http://schemas.microsoft.com/office/drawing/2014/main" id="{00000000-0008-0000-0A00-000004010000}"/>
                </a:ext>
              </a:extLst>
            </xdr:cNvPr>
            <xdr:cNvSpPr txBox="1"/>
          </xdr:nvSpPr>
          <xdr:spPr>
            <a:xfrm>
              <a:off x="3220428" y="26089709"/>
              <a:ext cx="214312"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0F6BBC36-7731-4E1A-ABF5-69019F6A5ECA}"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57">
          <xdr:nvSpPr>
            <xdr:cNvPr id="261" name="テキスト ボックス 260">
              <a:extLst>
                <a:ext uri="{FF2B5EF4-FFF2-40B4-BE49-F238E27FC236}">
                  <a16:creationId xmlns:a16="http://schemas.microsoft.com/office/drawing/2014/main" id="{00000000-0008-0000-0A00-000005010000}"/>
                </a:ext>
              </a:extLst>
            </xdr:cNvPr>
            <xdr:cNvSpPr txBox="1"/>
          </xdr:nvSpPr>
          <xdr:spPr>
            <a:xfrm>
              <a:off x="6168782" y="25342364"/>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8FFF14F7-52D4-48EC-AA1A-69E3744F29D8}"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7">
          <xdr:nvSpPr>
            <xdr:cNvPr id="262" name="テキスト ボックス 261">
              <a:extLst>
                <a:ext uri="{FF2B5EF4-FFF2-40B4-BE49-F238E27FC236}">
                  <a16:creationId xmlns:a16="http://schemas.microsoft.com/office/drawing/2014/main" id="{00000000-0008-0000-0A00-000006010000}"/>
                </a:ext>
              </a:extLst>
            </xdr:cNvPr>
            <xdr:cNvSpPr txBox="1"/>
          </xdr:nvSpPr>
          <xdr:spPr>
            <a:xfrm>
              <a:off x="5424367" y="25342364"/>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B550F17F-FAEE-4623-AE4F-578891B8CC27}"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7">
          <xdr:nvSpPr>
            <xdr:cNvPr id="263" name="テキスト ボックス 262">
              <a:extLst>
                <a:ext uri="{FF2B5EF4-FFF2-40B4-BE49-F238E27FC236}">
                  <a16:creationId xmlns:a16="http://schemas.microsoft.com/office/drawing/2014/main" id="{00000000-0008-0000-0A00-000007010000}"/>
                </a:ext>
              </a:extLst>
            </xdr:cNvPr>
            <xdr:cNvSpPr txBox="1"/>
          </xdr:nvSpPr>
          <xdr:spPr>
            <a:xfrm>
              <a:off x="4782527" y="25342364"/>
              <a:ext cx="21614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8278C140-AA88-4195-A756-AEB07837EE9B}"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K57">
          <xdr:nvSpPr>
            <xdr:cNvPr id="264" name="テキスト ボックス 263">
              <a:extLst>
                <a:ext uri="{FF2B5EF4-FFF2-40B4-BE49-F238E27FC236}">
                  <a16:creationId xmlns:a16="http://schemas.microsoft.com/office/drawing/2014/main" id="{00000000-0008-0000-0A00-000008010000}"/>
                </a:ext>
              </a:extLst>
            </xdr:cNvPr>
            <xdr:cNvSpPr txBox="1"/>
          </xdr:nvSpPr>
          <xdr:spPr>
            <a:xfrm>
              <a:off x="6847255" y="25342364"/>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DF80D122-F7B2-4C5A-8FA5-45CF504B37DE}"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58">
          <xdr:nvSpPr>
            <xdr:cNvPr id="265" name="テキスト ボックス 264">
              <a:extLst>
                <a:ext uri="{FF2B5EF4-FFF2-40B4-BE49-F238E27FC236}">
                  <a16:creationId xmlns:a16="http://schemas.microsoft.com/office/drawing/2014/main" id="{00000000-0008-0000-0A00-000009010000}"/>
                </a:ext>
              </a:extLst>
            </xdr:cNvPr>
            <xdr:cNvSpPr txBox="1"/>
          </xdr:nvSpPr>
          <xdr:spPr>
            <a:xfrm>
              <a:off x="6168782" y="25724829"/>
              <a:ext cx="216144"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F1EA2951-4D97-4AFC-853D-58FB69953B60}"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58">
          <xdr:nvSpPr>
            <xdr:cNvPr id="266" name="テキスト ボックス 265">
              <a:extLst>
                <a:ext uri="{FF2B5EF4-FFF2-40B4-BE49-F238E27FC236}">
                  <a16:creationId xmlns:a16="http://schemas.microsoft.com/office/drawing/2014/main" id="{00000000-0008-0000-0A00-00000A010000}"/>
                </a:ext>
              </a:extLst>
            </xdr:cNvPr>
            <xdr:cNvSpPr txBox="1"/>
          </xdr:nvSpPr>
          <xdr:spPr>
            <a:xfrm>
              <a:off x="5424367" y="25724829"/>
              <a:ext cx="216144"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7F1AD030-2F64-463B-A984-6E943912AF79}"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8">
          <xdr:nvSpPr>
            <xdr:cNvPr id="267" name="テキスト ボックス 266">
              <a:extLst>
                <a:ext uri="{FF2B5EF4-FFF2-40B4-BE49-F238E27FC236}">
                  <a16:creationId xmlns:a16="http://schemas.microsoft.com/office/drawing/2014/main" id="{00000000-0008-0000-0A00-00000B010000}"/>
                </a:ext>
              </a:extLst>
            </xdr:cNvPr>
            <xdr:cNvSpPr txBox="1"/>
          </xdr:nvSpPr>
          <xdr:spPr>
            <a:xfrm>
              <a:off x="4782527" y="25724829"/>
              <a:ext cx="21614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BA6E9CEE-3B9C-4ED7-8DD4-E3D3B68C3474}"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K58">
          <xdr:nvSpPr>
            <xdr:cNvPr id="268" name="テキスト ボックス 267">
              <a:extLst>
                <a:ext uri="{FF2B5EF4-FFF2-40B4-BE49-F238E27FC236}">
                  <a16:creationId xmlns:a16="http://schemas.microsoft.com/office/drawing/2014/main" id="{00000000-0008-0000-0A00-00000C010000}"/>
                </a:ext>
              </a:extLst>
            </xdr:cNvPr>
            <xdr:cNvSpPr txBox="1"/>
          </xdr:nvSpPr>
          <xdr:spPr>
            <a:xfrm>
              <a:off x="6847255" y="25724829"/>
              <a:ext cx="216144"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545CFD10-C50F-4A36-83E8-F63A2F90B32B}"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15">
          <xdr:nvSpPr>
            <xdr:cNvPr id="269" name="テキスト ボックス 268">
              <a:extLst>
                <a:ext uri="{FF2B5EF4-FFF2-40B4-BE49-F238E27FC236}">
                  <a16:creationId xmlns:a16="http://schemas.microsoft.com/office/drawing/2014/main" id="{00000000-0008-0000-0A00-00000D010000}"/>
                </a:ext>
              </a:extLst>
            </xdr:cNvPr>
            <xdr:cNvSpPr txBox="1"/>
          </xdr:nvSpPr>
          <xdr:spPr>
            <a:xfrm>
              <a:off x="1651000" y="27042209"/>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66332EF8-203B-4AA2-89F8-E55EC48FED9A}"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18">
          <xdr:nvSpPr>
            <xdr:cNvPr id="270" name="テキスト ボックス 269">
              <a:extLst>
                <a:ext uri="{FF2B5EF4-FFF2-40B4-BE49-F238E27FC236}">
                  <a16:creationId xmlns:a16="http://schemas.microsoft.com/office/drawing/2014/main" id="{00000000-0008-0000-0A00-00000E010000}"/>
                </a:ext>
              </a:extLst>
            </xdr:cNvPr>
            <xdr:cNvSpPr txBox="1"/>
          </xdr:nvSpPr>
          <xdr:spPr>
            <a:xfrm>
              <a:off x="1651000" y="27407090"/>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FCEC3A8E-42C0-40BD-B805-67274086C2BC}"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21">
          <xdr:nvSpPr>
            <xdr:cNvPr id="271" name="テキスト ボックス 270">
              <a:extLst>
                <a:ext uri="{FF2B5EF4-FFF2-40B4-BE49-F238E27FC236}">
                  <a16:creationId xmlns:a16="http://schemas.microsoft.com/office/drawing/2014/main" id="{00000000-0008-0000-0A00-00000F010000}"/>
                </a:ext>
              </a:extLst>
            </xdr:cNvPr>
            <xdr:cNvSpPr txBox="1"/>
          </xdr:nvSpPr>
          <xdr:spPr>
            <a:xfrm>
              <a:off x="1651000" y="27764643"/>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8C731BA6-D0CB-4C54-BD79-B9D3E8AF16DE}"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24">
          <xdr:nvSpPr>
            <xdr:cNvPr id="272" name="テキスト ボックス 271">
              <a:extLst>
                <a:ext uri="{FF2B5EF4-FFF2-40B4-BE49-F238E27FC236}">
                  <a16:creationId xmlns:a16="http://schemas.microsoft.com/office/drawing/2014/main" id="{00000000-0008-0000-0A00-000010010000}"/>
                </a:ext>
              </a:extLst>
            </xdr:cNvPr>
            <xdr:cNvSpPr txBox="1"/>
          </xdr:nvSpPr>
          <xdr:spPr>
            <a:xfrm>
              <a:off x="1651000" y="28119633"/>
              <a:ext cx="219075"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64738665-47C5-4A53-80D6-C03EC9FA78D3}"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26">
          <xdr:nvSpPr>
            <xdr:cNvPr id="273" name="テキスト ボックス 272">
              <a:extLst>
                <a:ext uri="{FF2B5EF4-FFF2-40B4-BE49-F238E27FC236}">
                  <a16:creationId xmlns:a16="http://schemas.microsoft.com/office/drawing/2014/main" id="{00000000-0008-0000-0A00-000011010000}"/>
                </a:ext>
              </a:extLst>
            </xdr:cNvPr>
            <xdr:cNvSpPr txBox="1"/>
          </xdr:nvSpPr>
          <xdr:spPr>
            <a:xfrm>
              <a:off x="1651000" y="28475355"/>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53F5F608-5F97-432A-BB26-F843698ABF0A}"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16">
          <xdr:nvSpPr>
            <xdr:cNvPr id="274" name="テキスト ボックス 273">
              <a:extLst>
                <a:ext uri="{FF2B5EF4-FFF2-40B4-BE49-F238E27FC236}">
                  <a16:creationId xmlns:a16="http://schemas.microsoft.com/office/drawing/2014/main" id="{00000000-0008-0000-0A00-000012010000}"/>
                </a:ext>
              </a:extLst>
            </xdr:cNvPr>
            <xdr:cNvSpPr txBox="1"/>
          </xdr:nvSpPr>
          <xdr:spPr>
            <a:xfrm>
              <a:off x="3547208" y="27027555"/>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A0BAEB03-97DE-4CCC-B13F-A33804330678}"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19">
          <xdr:nvSpPr>
            <xdr:cNvPr id="275" name="テキスト ボックス 274">
              <a:extLst>
                <a:ext uri="{FF2B5EF4-FFF2-40B4-BE49-F238E27FC236}">
                  <a16:creationId xmlns:a16="http://schemas.microsoft.com/office/drawing/2014/main" id="{00000000-0008-0000-0A00-000013010000}"/>
                </a:ext>
              </a:extLst>
            </xdr:cNvPr>
            <xdr:cNvSpPr txBox="1"/>
          </xdr:nvSpPr>
          <xdr:spPr>
            <a:xfrm>
              <a:off x="3547208" y="27399763"/>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D594AA6C-8D73-4285-B0C4-68C642E9DABB}"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22">
          <xdr:nvSpPr>
            <xdr:cNvPr id="276" name="テキスト ボックス 275">
              <a:extLst>
                <a:ext uri="{FF2B5EF4-FFF2-40B4-BE49-F238E27FC236}">
                  <a16:creationId xmlns:a16="http://schemas.microsoft.com/office/drawing/2014/main" id="{00000000-0008-0000-0A00-000014010000}"/>
                </a:ext>
              </a:extLst>
            </xdr:cNvPr>
            <xdr:cNvSpPr txBox="1"/>
          </xdr:nvSpPr>
          <xdr:spPr>
            <a:xfrm>
              <a:off x="3547208" y="27764643"/>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83E29341-0C41-4711-B22C-E01984D62AD1}"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25">
          <xdr:nvSpPr>
            <xdr:cNvPr id="277" name="テキスト ボックス 276">
              <a:extLst>
                <a:ext uri="{FF2B5EF4-FFF2-40B4-BE49-F238E27FC236}">
                  <a16:creationId xmlns:a16="http://schemas.microsoft.com/office/drawing/2014/main" id="{00000000-0008-0000-0A00-000015010000}"/>
                </a:ext>
              </a:extLst>
            </xdr:cNvPr>
            <xdr:cNvSpPr txBox="1"/>
          </xdr:nvSpPr>
          <xdr:spPr>
            <a:xfrm>
              <a:off x="3547208" y="28119633"/>
              <a:ext cx="219075"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C32DC342-AB24-45EE-BB62-294A65303F04}"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17">
          <xdr:nvSpPr>
            <xdr:cNvPr id="278" name="テキスト ボックス 277">
              <a:extLst>
                <a:ext uri="{FF2B5EF4-FFF2-40B4-BE49-F238E27FC236}">
                  <a16:creationId xmlns:a16="http://schemas.microsoft.com/office/drawing/2014/main" id="{00000000-0008-0000-0A00-000016010000}"/>
                </a:ext>
              </a:extLst>
            </xdr:cNvPr>
            <xdr:cNvSpPr txBox="1"/>
          </xdr:nvSpPr>
          <xdr:spPr>
            <a:xfrm>
              <a:off x="5475655" y="27027555"/>
              <a:ext cx="216144"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25AC0C1D-8ABE-4DC0-B46B-106484D41259}"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20">
          <xdr:nvSpPr>
            <xdr:cNvPr id="279" name="テキスト ボックス 278">
              <a:extLst>
                <a:ext uri="{FF2B5EF4-FFF2-40B4-BE49-F238E27FC236}">
                  <a16:creationId xmlns:a16="http://schemas.microsoft.com/office/drawing/2014/main" id="{00000000-0008-0000-0A00-000017010000}"/>
                </a:ext>
              </a:extLst>
            </xdr:cNvPr>
            <xdr:cNvSpPr txBox="1"/>
          </xdr:nvSpPr>
          <xdr:spPr>
            <a:xfrm>
              <a:off x="5475655" y="27399763"/>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BB1CC098-0F4E-44DE-8785-2A6DFF9A472B}"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C23">
          <xdr:nvSpPr>
            <xdr:cNvPr id="280" name="テキスト ボックス 279">
              <a:extLst>
                <a:ext uri="{FF2B5EF4-FFF2-40B4-BE49-F238E27FC236}">
                  <a16:creationId xmlns:a16="http://schemas.microsoft.com/office/drawing/2014/main" id="{00000000-0008-0000-0A00-000018010000}"/>
                </a:ext>
              </a:extLst>
            </xdr:cNvPr>
            <xdr:cNvSpPr txBox="1"/>
          </xdr:nvSpPr>
          <xdr:spPr>
            <a:xfrm>
              <a:off x="5475655" y="27764643"/>
              <a:ext cx="216144"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4BA91B3F-62EF-4FA2-98B6-5DB807CD06FD}"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59">
          <xdr:nvSpPr>
            <xdr:cNvPr id="281" name="テキスト ボックス 280">
              <a:extLst>
                <a:ext uri="{FF2B5EF4-FFF2-40B4-BE49-F238E27FC236}">
                  <a16:creationId xmlns:a16="http://schemas.microsoft.com/office/drawing/2014/main" id="{00000000-0008-0000-0A00-000019010000}"/>
                </a:ext>
              </a:extLst>
            </xdr:cNvPr>
            <xdr:cNvSpPr txBox="1"/>
          </xdr:nvSpPr>
          <xdr:spPr>
            <a:xfrm>
              <a:off x="6148023" y="28490010"/>
              <a:ext cx="427160"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B7BB96BE-31C2-425D-B4DB-23052889AB4E}" type="TxLink">
                <a:rPr kumimoji="1" lang="en-US" altLang="en-US" sz="1100" b="0" i="0" u="none" strike="noStrike" spc="910" baseline="0">
                  <a:solidFill>
                    <a:srgbClr val="000000"/>
                  </a:solidFill>
                  <a:latin typeface="OCRB" pitchFamily="49" charset="0"/>
                  <a:ea typeface="ＭＳ Ｐゴシック"/>
                </a:rPr>
                <a:pPr algn="r"/>
                <a:t>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H71">
          <xdr:nvSpPr>
            <xdr:cNvPr id="282" name="テキスト ボックス 281">
              <a:extLst>
                <a:ext uri="{FF2B5EF4-FFF2-40B4-BE49-F238E27FC236}">
                  <a16:creationId xmlns:a16="http://schemas.microsoft.com/office/drawing/2014/main" id="{00000000-0008-0000-0A00-00001A010000}"/>
                </a:ext>
              </a:extLst>
            </xdr:cNvPr>
            <xdr:cNvSpPr txBox="1"/>
          </xdr:nvSpPr>
          <xdr:spPr>
            <a:xfrm>
              <a:off x="1431193" y="29004358"/>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95C86B84-1491-424D-8D4C-9652443D7C62}"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71">
          <xdr:nvSpPr>
            <xdr:cNvPr id="283" name="テキスト ボックス 282">
              <a:extLst>
                <a:ext uri="{FF2B5EF4-FFF2-40B4-BE49-F238E27FC236}">
                  <a16:creationId xmlns:a16="http://schemas.microsoft.com/office/drawing/2014/main" id="{00000000-0008-0000-0A00-00001B010000}"/>
                </a:ext>
              </a:extLst>
            </xdr:cNvPr>
            <xdr:cNvSpPr txBox="1"/>
          </xdr:nvSpPr>
          <xdr:spPr>
            <a:xfrm>
              <a:off x="2285513" y="29004358"/>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122B7304-5C39-4785-B4CE-9B0DBC2C382E}"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71">
          <xdr:nvSpPr>
            <xdr:cNvPr id="284" name="テキスト ボックス 283">
              <a:extLst>
                <a:ext uri="{FF2B5EF4-FFF2-40B4-BE49-F238E27FC236}">
                  <a16:creationId xmlns:a16="http://schemas.microsoft.com/office/drawing/2014/main" id="{00000000-0008-0000-0A00-00001C010000}"/>
                </a:ext>
              </a:extLst>
            </xdr:cNvPr>
            <xdr:cNvSpPr txBox="1"/>
          </xdr:nvSpPr>
          <xdr:spPr>
            <a:xfrm>
              <a:off x="2912697" y="29004358"/>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8CF4DA85-786F-4FAF-8227-F1032F1CA674}"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K71">
          <xdr:nvSpPr>
            <xdr:cNvPr id="285" name="テキスト ボックス 284">
              <a:extLst>
                <a:ext uri="{FF2B5EF4-FFF2-40B4-BE49-F238E27FC236}">
                  <a16:creationId xmlns:a16="http://schemas.microsoft.com/office/drawing/2014/main" id="{00000000-0008-0000-0A00-00001D010000}"/>
                </a:ext>
              </a:extLst>
            </xdr:cNvPr>
            <xdr:cNvSpPr txBox="1"/>
          </xdr:nvSpPr>
          <xdr:spPr>
            <a:xfrm>
              <a:off x="3554535" y="29004358"/>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7CE8D67B-5074-4AA0-B744-6FBDBD1FA633}"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L71">
          <xdr:nvSpPr>
            <xdr:cNvPr id="286" name="テキスト ボックス 285">
              <a:extLst>
                <a:ext uri="{FF2B5EF4-FFF2-40B4-BE49-F238E27FC236}">
                  <a16:creationId xmlns:a16="http://schemas.microsoft.com/office/drawing/2014/main" id="{00000000-0008-0000-0A00-00001E010000}"/>
                </a:ext>
              </a:extLst>
            </xdr:cNvPr>
            <xdr:cNvSpPr txBox="1"/>
          </xdr:nvSpPr>
          <xdr:spPr>
            <a:xfrm>
              <a:off x="4196374" y="29004358"/>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9A3495B0-2654-48B5-9680-D7D644FE7B66}"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72">
          <xdr:nvSpPr>
            <xdr:cNvPr id="287" name="テキスト ボックス 286">
              <a:extLst>
                <a:ext uri="{FF2B5EF4-FFF2-40B4-BE49-F238E27FC236}">
                  <a16:creationId xmlns:a16="http://schemas.microsoft.com/office/drawing/2014/main" id="{00000000-0008-0000-0A00-00001F010000}"/>
                </a:ext>
              </a:extLst>
            </xdr:cNvPr>
            <xdr:cNvSpPr txBox="1"/>
          </xdr:nvSpPr>
          <xdr:spPr>
            <a:xfrm>
              <a:off x="4830886" y="29004358"/>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C4B18E4C-5198-432A-9D2F-410C70ACDC6E}"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72">
          <xdr:nvSpPr>
            <xdr:cNvPr id="288" name="テキスト ボックス 287">
              <a:extLst>
                <a:ext uri="{FF2B5EF4-FFF2-40B4-BE49-F238E27FC236}">
                  <a16:creationId xmlns:a16="http://schemas.microsoft.com/office/drawing/2014/main" id="{00000000-0008-0000-0A00-000020010000}"/>
                </a:ext>
              </a:extLst>
            </xdr:cNvPr>
            <xdr:cNvSpPr txBox="1"/>
          </xdr:nvSpPr>
          <xdr:spPr>
            <a:xfrm>
              <a:off x="5475655" y="29004358"/>
              <a:ext cx="216144"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B7928658-C346-4176-A811-9E65B19BD308}"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72">
          <xdr:nvSpPr>
            <xdr:cNvPr id="289" name="テキスト ボックス 288">
              <a:extLst>
                <a:ext uri="{FF2B5EF4-FFF2-40B4-BE49-F238E27FC236}">
                  <a16:creationId xmlns:a16="http://schemas.microsoft.com/office/drawing/2014/main" id="{00000000-0008-0000-0A00-000021010000}"/>
                </a:ext>
              </a:extLst>
            </xdr:cNvPr>
            <xdr:cNvSpPr txBox="1"/>
          </xdr:nvSpPr>
          <xdr:spPr>
            <a:xfrm>
              <a:off x="6064446" y="29004358"/>
              <a:ext cx="231384"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B2F984D5-A4E7-4D7E-BB7B-8A884FA5E92E}"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K72">
          <xdr:nvSpPr>
            <xdr:cNvPr id="290" name="テキスト ボックス 289">
              <a:extLst>
                <a:ext uri="{FF2B5EF4-FFF2-40B4-BE49-F238E27FC236}">
                  <a16:creationId xmlns:a16="http://schemas.microsoft.com/office/drawing/2014/main" id="{00000000-0008-0000-0A00-000022010000}"/>
                </a:ext>
              </a:extLst>
            </xdr:cNvPr>
            <xdr:cNvSpPr txBox="1"/>
          </xdr:nvSpPr>
          <xdr:spPr>
            <a:xfrm>
              <a:off x="6721818" y="29004358"/>
              <a:ext cx="216144"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FE4F0822-2CAF-4BBD-9DB8-1BC7D8316863}"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73">
          <xdr:nvSpPr>
            <xdr:cNvPr id="291" name="テキスト ボックス 290">
              <a:extLst>
                <a:ext uri="{FF2B5EF4-FFF2-40B4-BE49-F238E27FC236}">
                  <a16:creationId xmlns:a16="http://schemas.microsoft.com/office/drawing/2014/main" id="{00000000-0008-0000-0A00-000023010000}"/>
                </a:ext>
              </a:extLst>
            </xdr:cNvPr>
            <xdr:cNvSpPr txBox="1"/>
          </xdr:nvSpPr>
          <xdr:spPr>
            <a:xfrm>
              <a:off x="1430217" y="2944177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0BCE8DC8-F2BF-4AE4-B034-553749724833}"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73">
          <xdr:nvSpPr>
            <xdr:cNvPr id="292" name="テキスト ボックス 291">
              <a:extLst>
                <a:ext uri="{FF2B5EF4-FFF2-40B4-BE49-F238E27FC236}">
                  <a16:creationId xmlns:a16="http://schemas.microsoft.com/office/drawing/2014/main" id="{00000000-0008-0000-0A00-000024010000}"/>
                </a:ext>
              </a:extLst>
            </xdr:cNvPr>
            <xdr:cNvSpPr txBox="1"/>
          </xdr:nvSpPr>
          <xdr:spPr>
            <a:xfrm>
              <a:off x="2284537" y="2944177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CDFC51F0-79D5-493B-9988-50DBE4297F69}" type="TxLink">
                <a:rPr kumimoji="1" lang="ja-JP"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73">
          <xdr:nvSpPr>
            <xdr:cNvPr id="293" name="テキスト ボックス 292">
              <a:extLst>
                <a:ext uri="{FF2B5EF4-FFF2-40B4-BE49-F238E27FC236}">
                  <a16:creationId xmlns:a16="http://schemas.microsoft.com/office/drawing/2014/main" id="{00000000-0008-0000-0A00-000025010000}"/>
                </a:ext>
              </a:extLst>
            </xdr:cNvPr>
            <xdr:cNvSpPr txBox="1"/>
          </xdr:nvSpPr>
          <xdr:spPr>
            <a:xfrm>
              <a:off x="2911721" y="2944177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53C20C8D-5B35-45AB-9133-C8A3A3E1E478}"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K73">
          <xdr:nvSpPr>
            <xdr:cNvPr id="294" name="テキスト ボックス 293">
              <a:extLst>
                <a:ext uri="{FF2B5EF4-FFF2-40B4-BE49-F238E27FC236}">
                  <a16:creationId xmlns:a16="http://schemas.microsoft.com/office/drawing/2014/main" id="{00000000-0008-0000-0A00-000026010000}"/>
                </a:ext>
              </a:extLst>
            </xdr:cNvPr>
            <xdr:cNvSpPr txBox="1"/>
          </xdr:nvSpPr>
          <xdr:spPr>
            <a:xfrm>
              <a:off x="3553559" y="2944177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D9962903-30FD-49A3-9DCB-8DAF72FDC3C2}"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L73">
          <xdr:nvSpPr>
            <xdr:cNvPr id="295" name="テキスト ボックス 294">
              <a:extLst>
                <a:ext uri="{FF2B5EF4-FFF2-40B4-BE49-F238E27FC236}">
                  <a16:creationId xmlns:a16="http://schemas.microsoft.com/office/drawing/2014/main" id="{00000000-0008-0000-0A00-000027010000}"/>
                </a:ext>
              </a:extLst>
            </xdr:cNvPr>
            <xdr:cNvSpPr txBox="1"/>
          </xdr:nvSpPr>
          <xdr:spPr>
            <a:xfrm>
              <a:off x="4195398" y="2944177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A331A2FB-9C5B-40FF-B21B-C5FB3FA60286}"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H74">
          <xdr:nvSpPr>
            <xdr:cNvPr id="296" name="テキスト ボックス 295">
              <a:extLst>
                <a:ext uri="{FF2B5EF4-FFF2-40B4-BE49-F238E27FC236}">
                  <a16:creationId xmlns:a16="http://schemas.microsoft.com/office/drawing/2014/main" id="{00000000-0008-0000-0A00-000028010000}"/>
                </a:ext>
              </a:extLst>
            </xdr:cNvPr>
            <xdr:cNvSpPr txBox="1"/>
          </xdr:nvSpPr>
          <xdr:spPr>
            <a:xfrm>
              <a:off x="4829910" y="2944177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0D315345-8D97-4CB9-B02E-67FDF43D3AB3}"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I74">
          <xdr:nvSpPr>
            <xdr:cNvPr id="297" name="テキスト ボックス 296">
              <a:extLst>
                <a:ext uri="{FF2B5EF4-FFF2-40B4-BE49-F238E27FC236}">
                  <a16:creationId xmlns:a16="http://schemas.microsoft.com/office/drawing/2014/main" id="{00000000-0008-0000-0A00-000029010000}"/>
                </a:ext>
              </a:extLst>
            </xdr:cNvPr>
            <xdr:cNvSpPr txBox="1"/>
          </xdr:nvSpPr>
          <xdr:spPr>
            <a:xfrm>
              <a:off x="5474679" y="29441777"/>
              <a:ext cx="216144"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EB85BB05-8341-471F-A099-A86B81BAA04D}"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計算シート!J74">
          <xdr:nvSpPr>
            <xdr:cNvPr id="298" name="テキスト ボックス 297">
              <a:extLst>
                <a:ext uri="{FF2B5EF4-FFF2-40B4-BE49-F238E27FC236}">
                  <a16:creationId xmlns:a16="http://schemas.microsoft.com/office/drawing/2014/main" id="{00000000-0008-0000-0A00-00002A010000}"/>
                </a:ext>
              </a:extLst>
            </xdr:cNvPr>
            <xdr:cNvSpPr txBox="1"/>
          </xdr:nvSpPr>
          <xdr:spPr>
            <a:xfrm>
              <a:off x="6071090" y="29441777"/>
              <a:ext cx="231384"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fld id="{17BB6275-7E21-4F65-90DF-5BE1342A2A69}" type="TxLink">
                <a:rPr kumimoji="1" lang="en-US" altLang="en-US" sz="1100" b="0" i="0" u="none" strike="noStrike">
                  <a:solidFill>
                    <a:srgbClr val="000000"/>
                  </a:solidFill>
                  <a:latin typeface="ＭＳ Ｐゴシック"/>
                  <a:ea typeface="ＭＳ Ｐゴシック"/>
                </a:rPr>
                <a:pPr algn="ctr"/>
                <a:t> </a:t>
              </a:fld>
              <a:endParaRPr kumimoji="1" lang="ja-JP" altLang="en-US" sz="1050">
                <a:latin typeface="OCRB" panose="020B0609020202020204" pitchFamily="49" charset="0"/>
              </a:endParaRPr>
            </a:p>
          </xdr:txBody>
        </xdr:sp>
        <xdr:sp macro="" textlink="">
          <xdr:nvSpPr>
            <xdr:cNvPr id="299" name="テキスト ボックス 298">
              <a:extLst>
                <a:ext uri="{FF2B5EF4-FFF2-40B4-BE49-F238E27FC236}">
                  <a16:creationId xmlns:a16="http://schemas.microsoft.com/office/drawing/2014/main" id="{00000000-0008-0000-0A00-00002B010000}"/>
                </a:ext>
              </a:extLst>
            </xdr:cNvPr>
            <xdr:cNvSpPr txBox="1"/>
          </xdr:nvSpPr>
          <xdr:spPr>
            <a:xfrm>
              <a:off x="2680191" y="29926819"/>
              <a:ext cx="216144"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00" name="テキスト ボックス 299">
              <a:extLst>
                <a:ext uri="{FF2B5EF4-FFF2-40B4-BE49-F238E27FC236}">
                  <a16:creationId xmlns:a16="http://schemas.microsoft.com/office/drawing/2014/main" id="{00000000-0008-0000-0A00-00002C010000}"/>
                </a:ext>
              </a:extLst>
            </xdr:cNvPr>
            <xdr:cNvSpPr txBox="1"/>
          </xdr:nvSpPr>
          <xdr:spPr>
            <a:xfrm>
              <a:off x="4158763" y="29919492"/>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レ</a:t>
              </a:r>
            </a:p>
          </xdr:txBody>
        </xdr:sp>
        <xdr:sp macro="" textlink="">
          <xdr:nvSpPr>
            <xdr:cNvPr id="301" name="テキスト ボックス 300">
              <a:extLst>
                <a:ext uri="{FF2B5EF4-FFF2-40B4-BE49-F238E27FC236}">
                  <a16:creationId xmlns:a16="http://schemas.microsoft.com/office/drawing/2014/main" id="{00000000-0008-0000-0A00-00002D010000}"/>
                </a:ext>
              </a:extLst>
            </xdr:cNvPr>
            <xdr:cNvSpPr txBox="1"/>
          </xdr:nvSpPr>
          <xdr:spPr>
            <a:xfrm>
              <a:off x="1400910" y="30284374"/>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02" name="テキスト ボックス 301">
              <a:extLst>
                <a:ext uri="{FF2B5EF4-FFF2-40B4-BE49-F238E27FC236}">
                  <a16:creationId xmlns:a16="http://schemas.microsoft.com/office/drawing/2014/main" id="{00000000-0008-0000-0A00-00002E010000}"/>
                </a:ext>
              </a:extLst>
            </xdr:cNvPr>
            <xdr:cNvSpPr txBox="1"/>
          </xdr:nvSpPr>
          <xdr:spPr>
            <a:xfrm>
              <a:off x="2672865" y="30284374"/>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endParaRPr kumimoji="1" lang="ja-JP" altLang="en-US" sz="1050" b="0" i="0" u="none" strike="noStrike">
                <a:solidFill>
                  <a:srgbClr val="000000"/>
                </a:solidFill>
                <a:latin typeface="OCRB" panose="020B0609020202020204" pitchFamily="49" charset="0"/>
                <a:ea typeface="ＭＳ Ｐゴシック"/>
              </a:endParaRPr>
            </a:p>
          </xdr:txBody>
        </xdr:sp>
        <xdr:sp macro="" textlink="">
          <xdr:nvSpPr>
            <xdr:cNvPr id="303" name="テキスト ボックス 302">
              <a:extLst>
                <a:ext uri="{FF2B5EF4-FFF2-40B4-BE49-F238E27FC236}">
                  <a16:creationId xmlns:a16="http://schemas.microsoft.com/office/drawing/2014/main" id="{00000000-0008-0000-0A00-00002F010000}"/>
                </a:ext>
              </a:extLst>
            </xdr:cNvPr>
            <xdr:cNvSpPr txBox="1"/>
          </xdr:nvSpPr>
          <xdr:spPr>
            <a:xfrm>
              <a:off x="1400911" y="3064192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04" name="テキスト ボックス 303">
              <a:extLst>
                <a:ext uri="{FF2B5EF4-FFF2-40B4-BE49-F238E27FC236}">
                  <a16:creationId xmlns:a16="http://schemas.microsoft.com/office/drawing/2014/main" id="{00000000-0008-0000-0A00-000030010000}"/>
                </a:ext>
              </a:extLst>
            </xdr:cNvPr>
            <xdr:cNvSpPr txBox="1"/>
          </xdr:nvSpPr>
          <xdr:spPr>
            <a:xfrm>
              <a:off x="2680192" y="30641927"/>
              <a:ext cx="216144"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05" name="テキスト ボックス 304">
              <a:extLst>
                <a:ext uri="{FF2B5EF4-FFF2-40B4-BE49-F238E27FC236}">
                  <a16:creationId xmlns:a16="http://schemas.microsoft.com/office/drawing/2014/main" id="{00000000-0008-0000-0A00-000031010000}"/>
                </a:ext>
              </a:extLst>
            </xdr:cNvPr>
            <xdr:cNvSpPr txBox="1"/>
          </xdr:nvSpPr>
          <xdr:spPr>
            <a:xfrm>
              <a:off x="4158765" y="3064192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06" name="テキスト ボックス 305">
              <a:extLst>
                <a:ext uri="{FF2B5EF4-FFF2-40B4-BE49-F238E27FC236}">
                  <a16:creationId xmlns:a16="http://schemas.microsoft.com/office/drawing/2014/main" id="{00000000-0008-0000-0A00-000032010000}"/>
                </a:ext>
              </a:extLst>
            </xdr:cNvPr>
            <xdr:cNvSpPr txBox="1"/>
          </xdr:nvSpPr>
          <xdr:spPr>
            <a:xfrm>
              <a:off x="5647597" y="30641927"/>
              <a:ext cx="21907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endParaRPr kumimoji="1" lang="ja-JP" altLang="en-US" sz="1050" b="0" i="0" u="none" strike="noStrike">
                <a:solidFill>
                  <a:srgbClr val="000000"/>
                </a:solidFill>
                <a:latin typeface="OCRB" panose="020B0609020202020204" pitchFamily="49" charset="0"/>
                <a:ea typeface="ＭＳ Ｐゴシック"/>
              </a:endParaRPr>
            </a:p>
          </xdr:txBody>
        </xdr:sp>
        <xdr:sp macro="" textlink="">
          <xdr:nvSpPr>
            <xdr:cNvPr id="307" name="テキスト ボックス 306">
              <a:extLst>
                <a:ext uri="{FF2B5EF4-FFF2-40B4-BE49-F238E27FC236}">
                  <a16:creationId xmlns:a16="http://schemas.microsoft.com/office/drawing/2014/main" id="{00000000-0008-0000-0A00-000033010000}"/>
                </a:ext>
              </a:extLst>
            </xdr:cNvPr>
            <xdr:cNvSpPr txBox="1"/>
          </xdr:nvSpPr>
          <xdr:spPr>
            <a:xfrm>
              <a:off x="5647597" y="30999482"/>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endParaRPr kumimoji="1" lang="ja-JP" altLang="en-US" sz="1050" b="0" i="0" u="none" strike="noStrike">
                <a:solidFill>
                  <a:srgbClr val="000000"/>
                </a:solidFill>
                <a:latin typeface="OCRB" panose="020B0609020202020204" pitchFamily="49" charset="0"/>
                <a:ea typeface="ＭＳ Ｐゴシック"/>
              </a:endParaRPr>
            </a:p>
          </xdr:txBody>
        </xdr:sp>
        <xdr:sp macro="" textlink="">
          <xdr:nvSpPr>
            <xdr:cNvPr id="308" name="テキスト ボックス 307">
              <a:extLst>
                <a:ext uri="{FF2B5EF4-FFF2-40B4-BE49-F238E27FC236}">
                  <a16:creationId xmlns:a16="http://schemas.microsoft.com/office/drawing/2014/main" id="{00000000-0008-0000-0A00-000034010000}"/>
                </a:ext>
              </a:extLst>
            </xdr:cNvPr>
            <xdr:cNvSpPr txBox="1"/>
          </xdr:nvSpPr>
          <xdr:spPr>
            <a:xfrm>
              <a:off x="4158766" y="30999482"/>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09" name="テキスト ボックス 308">
              <a:extLst>
                <a:ext uri="{FF2B5EF4-FFF2-40B4-BE49-F238E27FC236}">
                  <a16:creationId xmlns:a16="http://schemas.microsoft.com/office/drawing/2014/main" id="{00000000-0008-0000-0A00-000035010000}"/>
                </a:ext>
              </a:extLst>
            </xdr:cNvPr>
            <xdr:cNvSpPr txBox="1"/>
          </xdr:nvSpPr>
          <xdr:spPr>
            <a:xfrm>
              <a:off x="2680193" y="30999482"/>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0" name="テキスト ボックス 309">
              <a:extLst>
                <a:ext uri="{FF2B5EF4-FFF2-40B4-BE49-F238E27FC236}">
                  <a16:creationId xmlns:a16="http://schemas.microsoft.com/office/drawing/2014/main" id="{00000000-0008-0000-0A00-000036010000}"/>
                </a:ext>
              </a:extLst>
            </xdr:cNvPr>
            <xdr:cNvSpPr txBox="1"/>
          </xdr:nvSpPr>
          <xdr:spPr>
            <a:xfrm>
              <a:off x="1393584" y="31006809"/>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1" name="テキスト ボックス 310">
              <a:extLst>
                <a:ext uri="{FF2B5EF4-FFF2-40B4-BE49-F238E27FC236}">
                  <a16:creationId xmlns:a16="http://schemas.microsoft.com/office/drawing/2014/main" id="{00000000-0008-0000-0A00-000037010000}"/>
                </a:ext>
              </a:extLst>
            </xdr:cNvPr>
            <xdr:cNvSpPr txBox="1"/>
          </xdr:nvSpPr>
          <xdr:spPr>
            <a:xfrm>
              <a:off x="1400911" y="31376451"/>
              <a:ext cx="219075" cy="25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2" name="テキスト ボックス 311">
              <a:extLst>
                <a:ext uri="{FF2B5EF4-FFF2-40B4-BE49-F238E27FC236}">
                  <a16:creationId xmlns:a16="http://schemas.microsoft.com/office/drawing/2014/main" id="{00000000-0008-0000-0A00-000038010000}"/>
                </a:ext>
              </a:extLst>
            </xdr:cNvPr>
            <xdr:cNvSpPr txBox="1"/>
          </xdr:nvSpPr>
          <xdr:spPr>
            <a:xfrm>
              <a:off x="4158765" y="31381947"/>
              <a:ext cx="219075" cy="25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endParaRPr kumimoji="1" lang="ja-JP" altLang="en-US" sz="1050" b="0" i="0" u="none" strike="noStrike">
                <a:solidFill>
                  <a:srgbClr val="000000"/>
                </a:solidFill>
                <a:latin typeface="OCRB" panose="020B0609020202020204" pitchFamily="49" charset="0"/>
                <a:ea typeface="ＭＳ Ｐゴシック"/>
              </a:endParaRPr>
            </a:p>
          </xdr:txBody>
        </xdr:sp>
        <xdr:sp macro="" textlink="">
          <xdr:nvSpPr>
            <xdr:cNvPr id="313" name="テキスト ボックス 312">
              <a:extLst>
                <a:ext uri="{FF2B5EF4-FFF2-40B4-BE49-F238E27FC236}">
                  <a16:creationId xmlns:a16="http://schemas.microsoft.com/office/drawing/2014/main" id="{00000000-0008-0000-0A00-000039010000}"/>
                </a:ext>
              </a:extLst>
            </xdr:cNvPr>
            <xdr:cNvSpPr txBox="1"/>
          </xdr:nvSpPr>
          <xdr:spPr>
            <a:xfrm>
              <a:off x="1308592" y="32062253"/>
              <a:ext cx="216144"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4" name="テキスト ボックス 313">
              <a:extLst>
                <a:ext uri="{FF2B5EF4-FFF2-40B4-BE49-F238E27FC236}">
                  <a16:creationId xmlns:a16="http://schemas.microsoft.com/office/drawing/2014/main" id="{00000000-0008-0000-0A00-00003A010000}"/>
                </a:ext>
              </a:extLst>
            </xdr:cNvPr>
            <xdr:cNvSpPr txBox="1"/>
          </xdr:nvSpPr>
          <xdr:spPr>
            <a:xfrm>
              <a:off x="2152654" y="32062253"/>
              <a:ext cx="21907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5" name="テキスト ボックス 314">
              <a:extLst>
                <a:ext uri="{FF2B5EF4-FFF2-40B4-BE49-F238E27FC236}">
                  <a16:creationId xmlns:a16="http://schemas.microsoft.com/office/drawing/2014/main" id="{00000000-0008-0000-0A00-00003B010000}"/>
                </a:ext>
              </a:extLst>
            </xdr:cNvPr>
            <xdr:cNvSpPr txBox="1"/>
          </xdr:nvSpPr>
          <xdr:spPr>
            <a:xfrm>
              <a:off x="2787165" y="32062253"/>
              <a:ext cx="21907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6" name="テキスト ボックス 315">
              <a:extLst>
                <a:ext uri="{FF2B5EF4-FFF2-40B4-BE49-F238E27FC236}">
                  <a16:creationId xmlns:a16="http://schemas.microsoft.com/office/drawing/2014/main" id="{00000000-0008-0000-0A00-00003C010000}"/>
                </a:ext>
              </a:extLst>
            </xdr:cNvPr>
            <xdr:cNvSpPr txBox="1"/>
          </xdr:nvSpPr>
          <xdr:spPr>
            <a:xfrm>
              <a:off x="3424608" y="32062253"/>
              <a:ext cx="216144"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7" name="テキスト ボックス 316">
              <a:extLst>
                <a:ext uri="{FF2B5EF4-FFF2-40B4-BE49-F238E27FC236}">
                  <a16:creationId xmlns:a16="http://schemas.microsoft.com/office/drawing/2014/main" id="{00000000-0008-0000-0A00-00003D010000}"/>
                </a:ext>
              </a:extLst>
            </xdr:cNvPr>
            <xdr:cNvSpPr txBox="1"/>
          </xdr:nvSpPr>
          <xdr:spPr>
            <a:xfrm>
              <a:off x="4051792" y="32062253"/>
              <a:ext cx="216144"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8" name="テキスト ボックス 317">
              <a:extLst>
                <a:ext uri="{FF2B5EF4-FFF2-40B4-BE49-F238E27FC236}">
                  <a16:creationId xmlns:a16="http://schemas.microsoft.com/office/drawing/2014/main" id="{00000000-0008-0000-0A00-00003E010000}"/>
                </a:ext>
              </a:extLst>
            </xdr:cNvPr>
            <xdr:cNvSpPr txBox="1"/>
          </xdr:nvSpPr>
          <xdr:spPr>
            <a:xfrm>
              <a:off x="4708284" y="32062253"/>
              <a:ext cx="21614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19" name="テキスト ボックス 318">
              <a:extLst>
                <a:ext uri="{FF2B5EF4-FFF2-40B4-BE49-F238E27FC236}">
                  <a16:creationId xmlns:a16="http://schemas.microsoft.com/office/drawing/2014/main" id="{00000000-0008-0000-0A00-00003F010000}"/>
                </a:ext>
              </a:extLst>
            </xdr:cNvPr>
            <xdr:cNvSpPr txBox="1"/>
          </xdr:nvSpPr>
          <xdr:spPr>
            <a:xfrm>
              <a:off x="5335470" y="32062253"/>
              <a:ext cx="216144"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0" name="テキスト ボックス 319">
              <a:extLst>
                <a:ext uri="{FF2B5EF4-FFF2-40B4-BE49-F238E27FC236}">
                  <a16:creationId xmlns:a16="http://schemas.microsoft.com/office/drawing/2014/main" id="{00000000-0008-0000-0A00-000040010000}"/>
                </a:ext>
              </a:extLst>
            </xdr:cNvPr>
            <xdr:cNvSpPr txBox="1"/>
          </xdr:nvSpPr>
          <xdr:spPr>
            <a:xfrm>
              <a:off x="5962654" y="32062253"/>
              <a:ext cx="214312"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1" name="テキスト ボックス 320">
              <a:extLst>
                <a:ext uri="{FF2B5EF4-FFF2-40B4-BE49-F238E27FC236}">
                  <a16:creationId xmlns:a16="http://schemas.microsoft.com/office/drawing/2014/main" id="{00000000-0008-0000-0A00-000041010000}"/>
                </a:ext>
              </a:extLst>
            </xdr:cNvPr>
            <xdr:cNvSpPr txBox="1"/>
          </xdr:nvSpPr>
          <xdr:spPr>
            <a:xfrm>
              <a:off x="6611819" y="32062253"/>
              <a:ext cx="21907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endParaRPr kumimoji="1" lang="ja-JP" altLang="en-US" sz="1050" b="0" i="0" u="none" strike="noStrike">
                <a:solidFill>
                  <a:srgbClr val="000000"/>
                </a:solidFill>
                <a:latin typeface="OCRB" panose="020B0609020202020204" pitchFamily="49" charset="0"/>
                <a:ea typeface="ＭＳ Ｐゴシック"/>
              </a:endParaRPr>
            </a:p>
          </xdr:txBody>
        </xdr:sp>
        <xdr:sp macro="" textlink="">
          <xdr:nvSpPr>
            <xdr:cNvPr id="322" name="テキスト ボックス 321">
              <a:extLst>
                <a:ext uri="{FF2B5EF4-FFF2-40B4-BE49-F238E27FC236}">
                  <a16:creationId xmlns:a16="http://schemas.microsoft.com/office/drawing/2014/main" id="{00000000-0008-0000-0A00-000042010000}"/>
                </a:ext>
              </a:extLst>
            </xdr:cNvPr>
            <xdr:cNvSpPr txBox="1"/>
          </xdr:nvSpPr>
          <xdr:spPr>
            <a:xfrm>
              <a:off x="1301265" y="32527879"/>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3" name="テキスト ボックス 322">
              <a:extLst>
                <a:ext uri="{FF2B5EF4-FFF2-40B4-BE49-F238E27FC236}">
                  <a16:creationId xmlns:a16="http://schemas.microsoft.com/office/drawing/2014/main" id="{00000000-0008-0000-0A00-000043010000}"/>
                </a:ext>
              </a:extLst>
            </xdr:cNvPr>
            <xdr:cNvSpPr txBox="1"/>
          </xdr:nvSpPr>
          <xdr:spPr>
            <a:xfrm>
              <a:off x="2145327" y="32527879"/>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4" name="テキスト ボックス 323">
              <a:extLst>
                <a:ext uri="{FF2B5EF4-FFF2-40B4-BE49-F238E27FC236}">
                  <a16:creationId xmlns:a16="http://schemas.microsoft.com/office/drawing/2014/main" id="{00000000-0008-0000-0A00-000044010000}"/>
                </a:ext>
              </a:extLst>
            </xdr:cNvPr>
            <xdr:cNvSpPr txBox="1"/>
          </xdr:nvSpPr>
          <xdr:spPr>
            <a:xfrm>
              <a:off x="2779838" y="32527879"/>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5" name="テキスト ボックス 324">
              <a:extLst>
                <a:ext uri="{FF2B5EF4-FFF2-40B4-BE49-F238E27FC236}">
                  <a16:creationId xmlns:a16="http://schemas.microsoft.com/office/drawing/2014/main" id="{00000000-0008-0000-0A00-000045010000}"/>
                </a:ext>
              </a:extLst>
            </xdr:cNvPr>
            <xdr:cNvSpPr txBox="1"/>
          </xdr:nvSpPr>
          <xdr:spPr>
            <a:xfrm>
              <a:off x="3417281" y="32527879"/>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6" name="テキスト ボックス 325">
              <a:extLst>
                <a:ext uri="{FF2B5EF4-FFF2-40B4-BE49-F238E27FC236}">
                  <a16:creationId xmlns:a16="http://schemas.microsoft.com/office/drawing/2014/main" id="{00000000-0008-0000-0A00-000046010000}"/>
                </a:ext>
              </a:extLst>
            </xdr:cNvPr>
            <xdr:cNvSpPr txBox="1"/>
          </xdr:nvSpPr>
          <xdr:spPr>
            <a:xfrm>
              <a:off x="4044465" y="32527879"/>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7" name="テキスト ボックス 326">
              <a:extLst>
                <a:ext uri="{FF2B5EF4-FFF2-40B4-BE49-F238E27FC236}">
                  <a16:creationId xmlns:a16="http://schemas.microsoft.com/office/drawing/2014/main" id="{00000000-0008-0000-0A00-000047010000}"/>
                </a:ext>
              </a:extLst>
            </xdr:cNvPr>
            <xdr:cNvSpPr txBox="1"/>
          </xdr:nvSpPr>
          <xdr:spPr>
            <a:xfrm>
              <a:off x="4700957" y="32527879"/>
              <a:ext cx="21614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8" name="テキスト ボックス 327">
              <a:extLst>
                <a:ext uri="{FF2B5EF4-FFF2-40B4-BE49-F238E27FC236}">
                  <a16:creationId xmlns:a16="http://schemas.microsoft.com/office/drawing/2014/main" id="{00000000-0008-0000-0A00-000048010000}"/>
                </a:ext>
              </a:extLst>
            </xdr:cNvPr>
            <xdr:cNvSpPr txBox="1"/>
          </xdr:nvSpPr>
          <xdr:spPr>
            <a:xfrm>
              <a:off x="5328143" y="32527879"/>
              <a:ext cx="21614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r>
                <a:rPr kumimoji="1" lang="ja-JP" altLang="en-US" sz="1050" b="0" i="0" u="none" strike="noStrike">
                  <a:solidFill>
                    <a:srgbClr val="000000"/>
                  </a:solidFill>
                  <a:latin typeface="OCRB" panose="020B0609020202020204" pitchFamily="49" charset="0"/>
                  <a:ea typeface="ＭＳ Ｐゴシック"/>
                </a:rPr>
                <a:t> </a:t>
              </a:r>
            </a:p>
          </xdr:txBody>
        </xdr:sp>
        <xdr:sp macro="" textlink="">
          <xdr:nvSpPr>
            <xdr:cNvPr id="329" name="テキスト ボックス 328">
              <a:extLst>
                <a:ext uri="{FF2B5EF4-FFF2-40B4-BE49-F238E27FC236}">
                  <a16:creationId xmlns:a16="http://schemas.microsoft.com/office/drawing/2014/main" id="{00000000-0008-0000-0A00-000049010000}"/>
                </a:ext>
              </a:extLst>
            </xdr:cNvPr>
            <xdr:cNvSpPr txBox="1"/>
          </xdr:nvSpPr>
          <xdr:spPr>
            <a:xfrm>
              <a:off x="5955327" y="32527879"/>
              <a:ext cx="219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gn="ctr"/>
              <a:endParaRPr kumimoji="1" lang="ja-JP" altLang="en-US" sz="1050" b="0" i="0" u="none" strike="noStrike">
                <a:solidFill>
                  <a:srgbClr val="000000"/>
                </a:solidFill>
                <a:latin typeface="OCRB" panose="020B0609020202020204" pitchFamily="49" charset="0"/>
                <a:ea typeface="ＭＳ Ｐゴシック"/>
              </a:endParaRPr>
            </a:p>
          </xdr:txBody>
        </xdr:sp>
        <xdr:sp macro="" textlink="計算シート!B40">
          <xdr:nvSpPr>
            <xdr:cNvPr id="333" name="テキスト ボックス 332">
              <a:extLst>
                <a:ext uri="{FF2B5EF4-FFF2-40B4-BE49-F238E27FC236}">
                  <a16:creationId xmlns:a16="http://schemas.microsoft.com/office/drawing/2014/main" id="{00000000-0008-0000-0A00-00004D010000}"/>
                </a:ext>
              </a:extLst>
            </xdr:cNvPr>
            <xdr:cNvSpPr txBox="1"/>
          </xdr:nvSpPr>
          <xdr:spPr>
            <a:xfrm>
              <a:off x="2173578" y="23715870"/>
              <a:ext cx="634862"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9CBA7EF-D545-4FD6-82B8-2C3902DB844E}" type="TxLink">
                <a:rPr kumimoji="1" lang="en-US" altLang="en-US" sz="1050" b="0" i="0" u="none" strike="noStrike" spc="910" baseline="0">
                  <a:solidFill>
                    <a:srgbClr val="000000"/>
                  </a:solidFill>
                  <a:latin typeface="OCRB" pitchFamily="49" charset="0"/>
                  <a:ea typeface="ＭＳ Ｐゴシック"/>
                </a:rPr>
                <a:pPr/>
                <a:t>342</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C40">
          <xdr:nvSpPr>
            <xdr:cNvPr id="334" name="テキスト ボックス 333">
              <a:extLst>
                <a:ext uri="{FF2B5EF4-FFF2-40B4-BE49-F238E27FC236}">
                  <a16:creationId xmlns:a16="http://schemas.microsoft.com/office/drawing/2014/main" id="{00000000-0008-0000-0A00-00004E010000}"/>
                </a:ext>
              </a:extLst>
            </xdr:cNvPr>
            <xdr:cNvSpPr txBox="1"/>
          </xdr:nvSpPr>
          <xdr:spPr>
            <a:xfrm>
              <a:off x="2814527" y="23715870"/>
              <a:ext cx="634861"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B8FC611-6223-43F4-8F1D-90C03900C391}" type="TxLink">
                <a:rPr kumimoji="1" lang="en-US" altLang="en-US" sz="1050" b="0" i="0" u="none" strike="noStrike" spc="910" baseline="0">
                  <a:solidFill>
                    <a:srgbClr val="000000"/>
                  </a:solidFill>
                  <a:latin typeface="OCRB" pitchFamily="49" charset="0"/>
                  <a:ea typeface="ＭＳ Ｐゴシック"/>
                </a:rPr>
                <a:pPr/>
                <a:t>055</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Q2">
          <xdr:nvSpPr>
            <xdr:cNvPr id="340" name="テキスト ボックス 339">
              <a:extLst>
                <a:ext uri="{FF2B5EF4-FFF2-40B4-BE49-F238E27FC236}">
                  <a16:creationId xmlns:a16="http://schemas.microsoft.com/office/drawing/2014/main" id="{00000000-0008-0000-0A00-000054010000}"/>
                </a:ext>
              </a:extLst>
            </xdr:cNvPr>
            <xdr:cNvSpPr txBox="1"/>
          </xdr:nvSpPr>
          <xdr:spPr>
            <a:xfrm>
              <a:off x="4108587" y="23705102"/>
              <a:ext cx="536300"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676A292-54A5-477E-8580-F9F93C2ED531}" type="TxLink">
                <a:rPr kumimoji="1" lang="en-US" altLang="en-US" sz="1050" b="0" i="0" u="none" strike="noStrike" spc="910" baseline="0">
                  <a:solidFill>
                    <a:srgbClr val="000000"/>
                  </a:solidFill>
                  <a:latin typeface="OCRB" pitchFamily="49" charset="0"/>
                  <a:ea typeface="ＭＳ Ｐゴシック"/>
                </a:rPr>
                <a:pPr/>
                <a:t>000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S2">
          <xdr:nvSpPr>
            <xdr:cNvPr id="341" name="テキスト ボックス 340">
              <a:extLst>
                <a:ext uri="{FF2B5EF4-FFF2-40B4-BE49-F238E27FC236}">
                  <a16:creationId xmlns:a16="http://schemas.microsoft.com/office/drawing/2014/main" id="{00000000-0008-0000-0A00-000055010000}"/>
                </a:ext>
              </a:extLst>
            </xdr:cNvPr>
            <xdr:cNvSpPr txBox="1"/>
          </xdr:nvSpPr>
          <xdr:spPr>
            <a:xfrm>
              <a:off x="4739940" y="23705102"/>
              <a:ext cx="582019"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F3C61E32-25DE-4BC2-90FD-09064F2380DB}" type="TxLink">
                <a:rPr kumimoji="1" lang="en-US" altLang="en-US" sz="1050" b="0" i="0" u="none" strike="noStrike" spc="910" baseline="0">
                  <a:solidFill>
                    <a:srgbClr val="000000"/>
                  </a:solidFill>
                  <a:latin typeface="OCRB" pitchFamily="49" charset="0"/>
                  <a:ea typeface="ＭＳ Ｐゴシック"/>
                </a:rPr>
                <a:pPr/>
                <a:t>000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U2">
          <xdr:nvSpPr>
            <xdr:cNvPr id="342" name="テキスト ボックス 341">
              <a:extLst>
                <a:ext uri="{FF2B5EF4-FFF2-40B4-BE49-F238E27FC236}">
                  <a16:creationId xmlns:a16="http://schemas.microsoft.com/office/drawing/2014/main" id="{00000000-0008-0000-0A00-000056010000}"/>
                </a:ext>
              </a:extLst>
            </xdr:cNvPr>
            <xdr:cNvSpPr txBox="1"/>
          </xdr:nvSpPr>
          <xdr:spPr>
            <a:xfrm>
              <a:off x="5360503" y="23705102"/>
              <a:ext cx="759676"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2CDD2BCA-ADDF-44AA-AA21-4D635A473CE8}" type="TxLink">
                <a:rPr kumimoji="1" lang="en-US" altLang="en-US" sz="1050" b="0" i="0" u="none" strike="noStrike" spc="910" baseline="0">
                  <a:solidFill>
                    <a:srgbClr val="000000"/>
                  </a:solidFill>
                  <a:latin typeface="OCRB" pitchFamily="49" charset="0"/>
                  <a:ea typeface="ＭＳ Ｐゴシック"/>
                </a:rPr>
                <a:pPr/>
                <a:t>0000</a:t>
              </a:fld>
              <a:endParaRPr kumimoji="1" lang="en-US" altLang="en-US" sz="1050" b="0" i="0" u="none" strike="noStrike" spc="910" baseline="0">
                <a:solidFill>
                  <a:srgbClr val="000000"/>
                </a:solidFill>
                <a:latin typeface="OCRB" pitchFamily="49" charset="0"/>
                <a:ea typeface="ＭＳ Ｐゴシック"/>
              </a:endParaRPr>
            </a:p>
          </xdr:txBody>
        </xdr:sp>
        <xdr:pic>
          <xdr:nvPicPr>
            <xdr:cNvPr id="357" name="図 356">
              <a:extLst>
                <a:ext uri="{FF2B5EF4-FFF2-40B4-BE49-F238E27FC236}">
                  <a16:creationId xmlns:a16="http://schemas.microsoft.com/office/drawing/2014/main" id="{00000000-0008-0000-0A00-0000650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2476" y="23164709"/>
              <a:ext cx="552450" cy="35251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 name="正方形/長方形 12">
              <a:extLst>
                <a:ext uri="{FF2B5EF4-FFF2-40B4-BE49-F238E27FC236}">
                  <a16:creationId xmlns:a16="http://schemas.microsoft.com/office/drawing/2014/main" id="{00000000-0008-0000-0A00-00000D000000}"/>
                </a:ext>
              </a:extLst>
            </xdr:cNvPr>
            <xdr:cNvSpPr/>
          </xdr:nvSpPr>
          <xdr:spPr>
            <a:xfrm>
              <a:off x="190499" y="29860875"/>
              <a:ext cx="7286625" cy="30099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81" name="図 380">
              <a:extLst>
                <a:ext uri="{FF2B5EF4-FFF2-40B4-BE49-F238E27FC236}">
                  <a16:creationId xmlns:a16="http://schemas.microsoft.com/office/drawing/2014/main" id="{00000000-0008-0000-0A00-00007D0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2953" y="23164800"/>
              <a:ext cx="554623" cy="35161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73270" y="335206"/>
            <a:ext cx="7447892" cy="10763875"/>
            <a:chOff x="73270" y="335206"/>
            <a:chExt cx="7447892" cy="10763875"/>
          </a:xfrm>
        </xdr:grpSpPr>
        <xdr:pic>
          <xdr:nvPicPr>
            <xdr:cNvPr id="3073" name="Picture 1">
              <a:extLst>
                <a:ext uri="{FF2B5EF4-FFF2-40B4-BE49-F238E27FC236}">
                  <a16:creationId xmlns:a16="http://schemas.microsoft.com/office/drawing/2014/main" id="{00000000-0008-0000-0A00-0000010C0000}"/>
                </a:ext>
              </a:extLst>
            </xdr:cNvPr>
            <xdr:cNvPicPr>
              <a:picLocks noChangeArrowheads="1"/>
            </xdr:cNvPicPr>
          </xdr:nvPicPr>
          <xdr:blipFill>
            <a:blip xmlns:r="http://schemas.openxmlformats.org/officeDocument/2006/relationships" r:embed="rId7" cstate="print"/>
            <a:srcRect/>
            <a:stretch>
              <a:fillRect/>
            </a:stretch>
          </xdr:blipFill>
          <xdr:spPr bwMode="auto">
            <a:xfrm>
              <a:off x="73270" y="335206"/>
              <a:ext cx="7447892" cy="10763875"/>
            </a:xfrm>
            <a:prstGeom prst="rect">
              <a:avLst/>
            </a:prstGeom>
            <a:noFill/>
            <a:ln w="1">
              <a:solidFill>
                <a:schemeClr val="bg1"/>
              </a:solidFill>
              <a:miter lim="800000"/>
              <a:headEnd/>
              <a:tailEnd type="none" w="med" len="med"/>
            </a:ln>
            <a:effectLst/>
          </xdr:spPr>
        </xdr:pic>
        <xdr:pic>
          <xdr:nvPicPr>
            <xdr:cNvPr id="380" name="図 379">
              <a:extLst>
                <a:ext uri="{FF2B5EF4-FFF2-40B4-BE49-F238E27FC236}">
                  <a16:creationId xmlns:a16="http://schemas.microsoft.com/office/drawing/2014/main" id="{00000000-0008-0000-0A00-00007C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42900" y="3147646"/>
              <a:ext cx="2867025" cy="338504"/>
            </a:xfrm>
            <a:prstGeom prst="rect">
              <a:avLst/>
            </a:prstGeom>
            <a:noFill/>
            <a:ln>
              <a:noFill/>
            </a:ln>
            <a:extLst>
              <a:ext uri="{909E8E84-426E-40DD-AFC4-6F175D3DCCD1}">
                <a14:hiddenFill xmlns:a14="http://schemas.microsoft.com/office/drawing/2010/main">
                  <a:solidFill>
                    <a:srgbClr val="FFFFFF"/>
                  </a:solidFill>
                </a14:hiddenFill>
              </a:ext>
            </a:extLst>
          </xdr:spPr>
        </xdr:pic>
        <xdr:sp macro="" textlink="基本情報!B3">
          <xdr:nvSpPr>
            <xdr:cNvPr id="4" name="テキスト ボックス 3">
              <a:extLst>
                <a:ext uri="{FF2B5EF4-FFF2-40B4-BE49-F238E27FC236}">
                  <a16:creationId xmlns:a16="http://schemas.microsoft.com/office/drawing/2014/main" id="{00000000-0008-0000-0A00-000004000000}"/>
                </a:ext>
              </a:extLst>
            </xdr:cNvPr>
            <xdr:cNvSpPr txBox="1"/>
          </xdr:nvSpPr>
          <xdr:spPr>
            <a:xfrm>
              <a:off x="885825" y="1740146"/>
              <a:ext cx="1174503" cy="346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fld id="{9BD830DE-3FE4-44E9-B478-5221604B10CE}" type="TxLink">
                <a:rPr kumimoji="1" lang="ja-JP" altLang="en-US" sz="900" b="0" i="0" u="none" strike="noStrike">
                  <a:solidFill>
                    <a:srgbClr val="000000"/>
                  </a:solidFill>
                  <a:latin typeface="ＭＳ Ｐゴシック"/>
                  <a:ea typeface="ＭＳ Ｐゴシック"/>
                </a:rPr>
                <a:pPr/>
                <a:t> </a:t>
              </a:fld>
              <a:endParaRPr kumimoji="1" lang="ja-JP" altLang="en-US" sz="900"/>
            </a:p>
          </xdr:txBody>
        </xdr:sp>
        <xdr:sp macro="" textlink="計算シート!B40">
          <xdr:nvSpPr>
            <xdr:cNvPr id="5" name="テキスト ボックス 4">
              <a:extLst>
                <a:ext uri="{FF2B5EF4-FFF2-40B4-BE49-F238E27FC236}">
                  <a16:creationId xmlns:a16="http://schemas.microsoft.com/office/drawing/2014/main" id="{00000000-0008-0000-0A00-000005000000}"/>
                </a:ext>
              </a:extLst>
            </xdr:cNvPr>
            <xdr:cNvSpPr txBox="1"/>
          </xdr:nvSpPr>
          <xdr:spPr>
            <a:xfrm>
              <a:off x="2257425" y="1117600"/>
              <a:ext cx="634862"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9CBA7EF-D545-4FD6-82B8-2C3902DB844E}" type="TxLink">
                <a:rPr kumimoji="1" lang="en-US" altLang="en-US" sz="1050" b="0" i="0" u="none" strike="noStrike" spc="910" baseline="0">
                  <a:solidFill>
                    <a:srgbClr val="000000"/>
                  </a:solidFill>
                  <a:latin typeface="OCRB" pitchFamily="49" charset="0"/>
                  <a:ea typeface="ＭＳ Ｐゴシック"/>
                </a:rPr>
                <a:pPr/>
                <a:t>342</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Q2">
          <xdr:nvSpPr>
            <xdr:cNvPr id="7" name="テキスト ボックス 6">
              <a:extLst>
                <a:ext uri="{FF2B5EF4-FFF2-40B4-BE49-F238E27FC236}">
                  <a16:creationId xmlns:a16="http://schemas.microsoft.com/office/drawing/2014/main" id="{00000000-0008-0000-0A00-000007000000}"/>
                </a:ext>
              </a:extLst>
            </xdr:cNvPr>
            <xdr:cNvSpPr txBox="1"/>
          </xdr:nvSpPr>
          <xdr:spPr>
            <a:xfrm>
              <a:off x="4181475" y="1117600"/>
              <a:ext cx="537956"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676A292-54A5-477E-8580-F9F93C2ED531}" type="TxLink">
                <a:rPr kumimoji="1" lang="en-US" altLang="en-US" sz="1050" b="0" i="0" u="none" strike="noStrike" spc="910" baseline="0">
                  <a:solidFill>
                    <a:srgbClr val="000000"/>
                  </a:solidFill>
                  <a:latin typeface="OCRB" pitchFamily="49" charset="0"/>
                  <a:ea typeface="ＭＳ Ｐゴシック"/>
                </a:rPr>
                <a:pPr/>
                <a:t>000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B41">
          <xdr:nvSpPr>
            <xdr:cNvPr id="8" name="テキスト ボックス 7">
              <a:extLst>
                <a:ext uri="{FF2B5EF4-FFF2-40B4-BE49-F238E27FC236}">
                  <a16:creationId xmlns:a16="http://schemas.microsoft.com/office/drawing/2014/main" id="{00000000-0008-0000-0A00-000008000000}"/>
                </a:ext>
              </a:extLst>
            </xdr:cNvPr>
            <xdr:cNvSpPr txBox="1"/>
          </xdr:nvSpPr>
          <xdr:spPr>
            <a:xfrm>
              <a:off x="2133600" y="1762126"/>
              <a:ext cx="219075"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252FE0D-B754-4D7D-BD61-35E7D3B4920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C41">
          <xdr:nvSpPr>
            <xdr:cNvPr id="9" name="テキスト ボックス 8">
              <a:extLst>
                <a:ext uri="{FF2B5EF4-FFF2-40B4-BE49-F238E27FC236}">
                  <a16:creationId xmlns:a16="http://schemas.microsoft.com/office/drawing/2014/main" id="{00000000-0008-0000-0A00-000009000000}"/>
                </a:ext>
              </a:extLst>
            </xdr:cNvPr>
            <xdr:cNvSpPr txBox="1"/>
          </xdr:nvSpPr>
          <xdr:spPr>
            <a:xfrm>
              <a:off x="2544292" y="1762126"/>
              <a:ext cx="221702"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B404C537-BD7B-4904-AD0E-3423991A357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B42" fLocksText="0">
          <xdr:nvSpPr>
            <xdr:cNvPr id="10" name="テキスト ボックス 9">
              <a:extLst>
                <a:ext uri="{FF2B5EF4-FFF2-40B4-BE49-F238E27FC236}">
                  <a16:creationId xmlns:a16="http://schemas.microsoft.com/office/drawing/2014/main" id="{00000000-0008-0000-0A00-00000A000000}"/>
                </a:ext>
              </a:extLst>
            </xdr:cNvPr>
            <xdr:cNvSpPr txBox="1"/>
          </xdr:nvSpPr>
          <xdr:spPr>
            <a:xfrm>
              <a:off x="3206969" y="1755557"/>
              <a:ext cx="219075"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04C4464-4CEC-43DB-AFFB-546F25CB61EC}"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C42">
          <xdr:nvSpPr>
            <xdr:cNvPr id="11" name="テキスト ボックス 10">
              <a:extLst>
                <a:ext uri="{FF2B5EF4-FFF2-40B4-BE49-F238E27FC236}">
                  <a16:creationId xmlns:a16="http://schemas.microsoft.com/office/drawing/2014/main" id="{00000000-0008-0000-0A00-00000B000000}"/>
                </a:ext>
              </a:extLst>
            </xdr:cNvPr>
            <xdr:cNvSpPr txBox="1"/>
          </xdr:nvSpPr>
          <xdr:spPr>
            <a:xfrm>
              <a:off x="3621340" y="1762126"/>
              <a:ext cx="219075"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E5BC51A-464C-4D01-8551-98903F1F6128}"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計算シート!D42">
          <xdr:nvSpPr>
            <xdr:cNvPr id="12" name="テキスト ボックス 11">
              <a:extLst>
                <a:ext uri="{FF2B5EF4-FFF2-40B4-BE49-F238E27FC236}">
                  <a16:creationId xmlns:a16="http://schemas.microsoft.com/office/drawing/2014/main" id="{00000000-0008-0000-0A00-00000C000000}"/>
                </a:ext>
              </a:extLst>
            </xdr:cNvPr>
            <xdr:cNvSpPr txBox="1"/>
          </xdr:nvSpPr>
          <xdr:spPr>
            <a:xfrm>
              <a:off x="4017842" y="1762126"/>
              <a:ext cx="244563"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65D8725B-B490-4C6F-873E-2B5B6DAEE936}"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OCRB" panose="020B0609020202020204" pitchFamily="49" charset="0"/>
              </a:endParaRPr>
            </a:p>
          </xdr:txBody>
        </xdr:sp>
        <xdr:sp macro="" textlink="基本情報!D5">
          <xdr:nvSpPr>
            <xdr:cNvPr id="15" name="テキスト ボックス 14">
              <a:extLst>
                <a:ext uri="{FF2B5EF4-FFF2-40B4-BE49-F238E27FC236}">
                  <a16:creationId xmlns:a16="http://schemas.microsoft.com/office/drawing/2014/main" id="{00000000-0008-0000-0A00-00000F000000}"/>
                </a:ext>
              </a:extLst>
            </xdr:cNvPr>
            <xdr:cNvSpPr txBox="1"/>
          </xdr:nvSpPr>
          <xdr:spPr>
            <a:xfrm>
              <a:off x="4511479" y="1759438"/>
              <a:ext cx="427161"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3B266C5E-153E-4C70-B9C1-EE5B74234449}" type="TxLink">
                <a:rPr kumimoji="1" lang="en-US" altLang="en-US" sz="1050" b="0" i="0" u="none" strike="noStrike" spc="910" baseline="0">
                  <a:solidFill>
                    <a:srgbClr val="000000"/>
                  </a:solidFill>
                  <a:latin typeface="OCRB" pitchFamily="49" charset="0"/>
                  <a:ea typeface="ＭＳ Ｐゴシック"/>
                </a:rPr>
                <a:pPr/>
                <a:t> </a:t>
              </a:fld>
              <a:endParaRPr kumimoji="1" lang="en-US" altLang="en-US" sz="1050" b="0" i="0" u="none" strike="noStrike" spc="910" baseline="0">
                <a:solidFill>
                  <a:srgbClr val="000000"/>
                </a:solidFill>
                <a:latin typeface="OCRB" pitchFamily="49" charset="0"/>
                <a:ea typeface="ＭＳ Ｐゴシック"/>
              </a:endParaRPr>
            </a:p>
          </xdr:txBody>
        </xdr:sp>
        <xdr:sp macro="" textlink="基本情報!F5">
          <xdr:nvSpPr>
            <xdr:cNvPr id="16" name="テキスト ボックス 15">
              <a:extLst>
                <a:ext uri="{FF2B5EF4-FFF2-40B4-BE49-F238E27FC236}">
                  <a16:creationId xmlns:a16="http://schemas.microsoft.com/office/drawing/2014/main" id="{00000000-0008-0000-0A00-000010000000}"/>
                </a:ext>
              </a:extLst>
            </xdr:cNvPr>
            <xdr:cNvSpPr txBox="1"/>
          </xdr:nvSpPr>
          <xdr:spPr>
            <a:xfrm>
              <a:off x="5168265" y="1759438"/>
              <a:ext cx="42716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F140068F-376D-44F0-AA6A-01990EA37A80}" type="TxLink">
                <a:rPr kumimoji="1" lang="en-US" altLang="en-US" sz="1050" b="0" i="0" u="none" strike="noStrike" spc="910" baseline="0">
                  <a:solidFill>
                    <a:srgbClr val="000000"/>
                  </a:solidFill>
                  <a:latin typeface="OCRB" pitchFamily="49" charset="0"/>
                  <a:ea typeface="ＭＳ Ｐゴシック"/>
                </a:rPr>
                <a:pPr/>
                <a:t> </a:t>
              </a:fld>
              <a:endParaRPr kumimoji="1" lang="en-US" altLang="en-US" sz="1050" b="0" i="0" u="none" strike="noStrike" spc="910" baseline="0">
                <a:solidFill>
                  <a:srgbClr val="000000"/>
                </a:solidFill>
                <a:latin typeface="OCRB" pitchFamily="49" charset="0"/>
                <a:ea typeface="ＭＳ Ｐゴシック"/>
              </a:endParaRPr>
            </a:p>
          </xdr:txBody>
        </xdr:sp>
        <xdr:sp macro="" textlink="基本情報!H5">
          <xdr:nvSpPr>
            <xdr:cNvPr id="17" name="テキスト ボックス 16">
              <a:extLst>
                <a:ext uri="{FF2B5EF4-FFF2-40B4-BE49-F238E27FC236}">
                  <a16:creationId xmlns:a16="http://schemas.microsoft.com/office/drawing/2014/main" id="{00000000-0008-0000-0A00-000011000000}"/>
                </a:ext>
              </a:extLst>
            </xdr:cNvPr>
            <xdr:cNvSpPr txBox="1"/>
          </xdr:nvSpPr>
          <xdr:spPr>
            <a:xfrm>
              <a:off x="5802777" y="1759438"/>
              <a:ext cx="42716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D341445-1581-4F53-9E1B-26FA8C352903}" type="TxLink">
                <a:rPr kumimoji="1" lang="en-US" altLang="en-US" sz="1050" b="0" i="0" u="none" strike="noStrike" spc="910" baseline="0">
                  <a:solidFill>
                    <a:srgbClr val="000000"/>
                  </a:solidFill>
                  <a:latin typeface="OCRB" pitchFamily="49" charset="0"/>
                  <a:ea typeface="ＭＳ Ｐゴシック"/>
                </a:rPr>
                <a:pPr/>
                <a:t> </a:t>
              </a:fld>
              <a:endParaRPr kumimoji="1" lang="en-US" altLang="en-US" sz="1050" b="0" i="0" u="none" strike="noStrike" spc="910" baseline="0">
                <a:solidFill>
                  <a:srgbClr val="000000"/>
                </a:solidFill>
                <a:latin typeface="OCRB" pitchFamily="49" charset="0"/>
                <a:ea typeface="ＭＳ Ｐゴシック"/>
              </a:endParaRPr>
            </a:p>
          </xdr:txBody>
        </xdr:sp>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6621341" y="1810727"/>
              <a:ext cx="42716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ctr"/>
              <a:endParaRPr kumimoji="1" lang="en-US" altLang="en-US" sz="900" b="0" i="0" u="none" strike="noStrike" spc="0" baseline="0">
                <a:solidFill>
                  <a:srgbClr val="000000"/>
                </a:solidFill>
                <a:latin typeface="ＭＳ Ｐゴシック"/>
                <a:ea typeface="ＭＳ Ｐゴシック"/>
              </a:endParaRPr>
            </a:p>
          </xdr:txBody>
        </xdr:sp>
        <xdr:sp macro="" textlink="">
          <xdr:nvSpPr>
            <xdr:cNvPr id="19" name="テキスト ボックス 18">
              <a:extLst>
                <a:ext uri="{FF2B5EF4-FFF2-40B4-BE49-F238E27FC236}">
                  <a16:creationId xmlns:a16="http://schemas.microsoft.com/office/drawing/2014/main" id="{00000000-0008-0000-0A00-000013000000}"/>
                </a:ext>
              </a:extLst>
            </xdr:cNvPr>
            <xdr:cNvSpPr txBox="1"/>
          </xdr:nvSpPr>
          <xdr:spPr>
            <a:xfrm>
              <a:off x="773723" y="2159977"/>
              <a:ext cx="1283677" cy="357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endParaRPr kumimoji="1" lang="ja-JP" altLang="en-US" sz="900" b="0" i="0" u="none" strike="noStrike">
                <a:solidFill>
                  <a:srgbClr val="000000"/>
                </a:solidFill>
                <a:latin typeface="ＭＳ Ｐゴシック"/>
                <a:ea typeface="ＭＳ Ｐゴシック"/>
              </a:endParaRPr>
            </a:p>
          </xdr:txBody>
        </xdr:sp>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773722" y="2593732"/>
              <a:ext cx="1291005" cy="357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endParaRPr kumimoji="1" lang="ja-JP" altLang="en-US" sz="900" b="0" i="0" u="none" strike="noStrike">
                <a:solidFill>
                  <a:srgbClr val="000000"/>
                </a:solidFill>
                <a:latin typeface="ＭＳ Ｐゴシック"/>
                <a:ea typeface="ＭＳ Ｐゴシック"/>
              </a:endParaRPr>
            </a:p>
          </xdr:txBody>
        </xdr:sp>
        <xdr:sp macro="" textlink="基本情報!B14">
          <xdr:nvSpPr>
            <xdr:cNvPr id="22" name="テキスト ボックス 21">
              <a:extLst>
                <a:ext uri="{FF2B5EF4-FFF2-40B4-BE49-F238E27FC236}">
                  <a16:creationId xmlns:a16="http://schemas.microsoft.com/office/drawing/2014/main" id="{00000000-0008-0000-0A00-000016000000}"/>
                </a:ext>
              </a:extLst>
            </xdr:cNvPr>
            <xdr:cNvSpPr txBox="1"/>
          </xdr:nvSpPr>
          <xdr:spPr>
            <a:xfrm>
              <a:off x="6047874" y="2732171"/>
              <a:ext cx="1336508" cy="1551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ctr"/>
              <a:fld id="{5DF2BEC4-5A97-450C-9AA1-AC40B269B78D}" type="TxLink">
                <a:rPr kumimoji="1" lang="en-US" altLang="en-US" sz="900" b="0" i="0" u="none" strike="noStrike" spc="0" baseline="0">
                  <a:solidFill>
                    <a:srgbClr val="000000"/>
                  </a:solidFill>
                  <a:latin typeface="ＭＳ Ｐゴシック"/>
                  <a:ea typeface="ＭＳ Ｐゴシック"/>
                </a:rPr>
                <a:pPr algn="ctr"/>
                <a:t> </a:t>
              </a:fld>
              <a:endParaRPr kumimoji="1" lang="en-US" altLang="en-US" sz="900" b="0" i="0" u="none" strike="noStrike" spc="0" baseline="0">
                <a:solidFill>
                  <a:srgbClr val="000000"/>
                </a:solidFill>
                <a:latin typeface="ＭＳ Ｐゴシック"/>
                <a:ea typeface="ＭＳ Ｐゴシック"/>
              </a:endParaRPr>
            </a:p>
          </xdr:txBody>
        </xdr:sp>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045803" y="2039813"/>
              <a:ext cx="1325438" cy="176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l"/>
              <a:endParaRPr kumimoji="1" lang="en-US" altLang="en-US" sz="900" b="0" i="0" u="none" strike="noStrike" spc="0" baseline="0">
                <a:solidFill>
                  <a:srgbClr val="000000"/>
                </a:solidFill>
                <a:latin typeface="ＭＳ Ｐゴシック"/>
                <a:ea typeface="ＭＳ Ｐゴシック"/>
              </a:endParaRPr>
            </a:p>
          </xdr:txBody>
        </xdr:sp>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3036277" y="2192948"/>
              <a:ext cx="2640623" cy="160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endParaRPr kumimoji="1" lang="ja-JP" altLang="en-US" sz="900" b="0" i="0" u="none" strike="noStrike">
                <a:solidFill>
                  <a:srgbClr val="000000"/>
                </a:solidFill>
                <a:latin typeface="ＭＳ Ｐゴシック"/>
                <a:ea typeface="ＭＳ Ｐゴシック"/>
              </a:endParaRPr>
            </a:p>
          </xdr:txBody>
        </xdr:sp>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3036277" y="2342418"/>
              <a:ext cx="2640623" cy="160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endParaRPr kumimoji="1" lang="ja-JP" altLang="en-US" sz="900" b="0" i="0" u="none" strike="noStrike">
                <a:solidFill>
                  <a:srgbClr val="000000"/>
                </a:solidFill>
                <a:latin typeface="ＭＳ Ｐゴシック"/>
                <a:ea typeface="ＭＳ Ｐゴシック"/>
              </a:endParaRPr>
            </a:p>
          </xdr:txBody>
        </xdr:sp>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3045803" y="2451587"/>
              <a:ext cx="1325438" cy="176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l"/>
              <a:endParaRPr kumimoji="1" lang="en-US" altLang="en-US" sz="900" b="0" i="0" u="none" strike="noStrike" spc="0" baseline="0">
                <a:solidFill>
                  <a:srgbClr val="000000"/>
                </a:solidFill>
                <a:latin typeface="ＭＳ Ｐゴシック"/>
                <a:ea typeface="ＭＳ Ｐゴシック"/>
              </a:endParaRPr>
            </a:p>
          </xdr:txBody>
        </xdr:sp>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3036277" y="2604722"/>
              <a:ext cx="2640623" cy="160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endParaRPr kumimoji="1" lang="ja-JP" altLang="en-US" sz="900" b="0" i="0" u="none" strike="noStrike">
                <a:solidFill>
                  <a:srgbClr val="000000"/>
                </a:solidFill>
                <a:latin typeface="ＭＳ Ｐゴシック"/>
                <a:ea typeface="ＭＳ Ｐゴシック"/>
              </a:endParaRPr>
            </a:p>
          </xdr:txBody>
        </xdr:sp>
        <xdr:sp macro="" textlink="">
          <xdr:nvSpPr>
            <xdr:cNvPr id="28" name="テキスト ボックス 27">
              <a:extLst>
                <a:ext uri="{FF2B5EF4-FFF2-40B4-BE49-F238E27FC236}">
                  <a16:creationId xmlns:a16="http://schemas.microsoft.com/office/drawing/2014/main" id="{00000000-0008-0000-0A00-00001C000000}"/>
                </a:ext>
              </a:extLst>
            </xdr:cNvPr>
            <xdr:cNvSpPr txBox="1"/>
          </xdr:nvSpPr>
          <xdr:spPr>
            <a:xfrm>
              <a:off x="3036277" y="2761518"/>
              <a:ext cx="2640623" cy="160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endParaRPr kumimoji="1" lang="ja-JP" altLang="en-US" sz="900" b="0" i="0" u="none" strike="noStrike">
                <a:solidFill>
                  <a:srgbClr val="000000"/>
                </a:solidFill>
                <a:latin typeface="ＭＳ Ｐゴシック"/>
                <a:ea typeface="ＭＳ Ｐゴシック"/>
              </a:endParaRPr>
            </a:p>
          </xdr:txBody>
        </xdr:sp>
        <xdr:sp macro="" textlink="基本情報!D15">
          <xdr:nvSpPr>
            <xdr:cNvPr id="29" name="テキスト ボックス 28">
              <a:extLst>
                <a:ext uri="{FF2B5EF4-FFF2-40B4-BE49-F238E27FC236}">
                  <a16:creationId xmlns:a16="http://schemas.microsoft.com/office/drawing/2014/main" id="{00000000-0008-0000-0A00-00001D000000}"/>
                </a:ext>
              </a:extLst>
            </xdr:cNvPr>
            <xdr:cNvSpPr txBox="1"/>
          </xdr:nvSpPr>
          <xdr:spPr>
            <a:xfrm>
              <a:off x="1218467" y="3167672"/>
              <a:ext cx="427160"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5D129FB7-FBA6-41F8-9E8E-D1EB67E7C656}" type="TxLink">
                <a:rPr kumimoji="1" lang="en-US" altLang="en-US" sz="1050" b="0" i="0" u="none" strike="noStrike" spc="910" baseline="0">
                  <a:solidFill>
                    <a:srgbClr val="000000"/>
                  </a:solidFill>
                  <a:latin typeface="OCRB" pitchFamily="49" charset="0"/>
                  <a:ea typeface="ＭＳ Ｐゴシック"/>
                </a:rPr>
                <a:pPr/>
                <a:t> </a:t>
              </a:fld>
              <a:endParaRPr kumimoji="1" lang="en-US" altLang="en-US" sz="1050" b="0" i="0" u="none" strike="noStrike" spc="910" baseline="0">
                <a:solidFill>
                  <a:srgbClr val="000000"/>
                </a:solidFill>
                <a:latin typeface="OCRB" pitchFamily="49" charset="0"/>
                <a:ea typeface="ＭＳ Ｐゴシック"/>
              </a:endParaRPr>
            </a:p>
          </xdr:txBody>
        </xdr:sp>
        <xdr:sp macro="" textlink="基本情報!F15">
          <xdr:nvSpPr>
            <xdr:cNvPr id="30" name="テキスト ボックス 29">
              <a:extLst>
                <a:ext uri="{FF2B5EF4-FFF2-40B4-BE49-F238E27FC236}">
                  <a16:creationId xmlns:a16="http://schemas.microsoft.com/office/drawing/2014/main" id="{00000000-0008-0000-0A00-00001E000000}"/>
                </a:ext>
              </a:extLst>
            </xdr:cNvPr>
            <xdr:cNvSpPr txBox="1"/>
          </xdr:nvSpPr>
          <xdr:spPr>
            <a:xfrm>
              <a:off x="1910129" y="3167672"/>
              <a:ext cx="430091"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F2EBE9E0-43D8-457F-A0C5-68C6602343D3}" type="TxLink">
                <a:rPr kumimoji="1" lang="en-US" altLang="en-US" sz="1050" b="0" i="0" u="none" strike="noStrike" spc="910" baseline="0">
                  <a:solidFill>
                    <a:srgbClr val="000000"/>
                  </a:solidFill>
                  <a:latin typeface="OCRB" pitchFamily="49" charset="0"/>
                  <a:ea typeface="ＭＳ Ｐゴシック"/>
                </a:rPr>
                <a:pPr/>
                <a:t> </a:t>
              </a:fld>
              <a:endParaRPr kumimoji="1" lang="en-US" altLang="en-US" sz="1050" b="0" i="0" u="none" strike="noStrike" spc="910" baseline="0">
                <a:solidFill>
                  <a:srgbClr val="000000"/>
                </a:solidFill>
                <a:latin typeface="OCRB" pitchFamily="49" charset="0"/>
                <a:ea typeface="ＭＳ Ｐゴシック"/>
              </a:endParaRPr>
            </a:p>
          </xdr:txBody>
        </xdr:sp>
        <xdr:sp macro="" textlink="基本情報!H15">
          <xdr:nvSpPr>
            <xdr:cNvPr id="31" name="テキスト ボックス 30">
              <a:extLst>
                <a:ext uri="{FF2B5EF4-FFF2-40B4-BE49-F238E27FC236}">
                  <a16:creationId xmlns:a16="http://schemas.microsoft.com/office/drawing/2014/main" id="{00000000-0008-0000-0A00-00001F000000}"/>
                </a:ext>
              </a:extLst>
            </xdr:cNvPr>
            <xdr:cNvSpPr txBox="1"/>
          </xdr:nvSpPr>
          <xdr:spPr>
            <a:xfrm>
              <a:off x="2590068" y="3167672"/>
              <a:ext cx="430091"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1790E978-EA68-418F-9059-67639CBBA9E5}" type="TxLink">
                <a:rPr kumimoji="1" lang="en-US" altLang="en-US" sz="1050" b="0" i="0" u="none" strike="noStrike" spc="910" baseline="0">
                  <a:solidFill>
                    <a:srgbClr val="000000"/>
                  </a:solidFill>
                  <a:latin typeface="OCRB" pitchFamily="49" charset="0"/>
                  <a:ea typeface="ＭＳ Ｐゴシック"/>
                </a:rPr>
                <a:pPr/>
                <a:t> </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B49">
          <xdr:nvSpPr>
            <xdr:cNvPr id="35" name="テキスト ボックス 34">
              <a:extLst>
                <a:ext uri="{FF2B5EF4-FFF2-40B4-BE49-F238E27FC236}">
                  <a16:creationId xmlns:a16="http://schemas.microsoft.com/office/drawing/2014/main" id="{00000000-0008-0000-0A00-000023000000}"/>
                </a:ext>
              </a:extLst>
            </xdr:cNvPr>
            <xdr:cNvSpPr txBox="1"/>
          </xdr:nvSpPr>
          <xdr:spPr>
            <a:xfrm>
              <a:off x="410399" y="4093553"/>
              <a:ext cx="18653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60254CF-471A-418F-B258-ADAC200B1F5A}"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C49">
          <xdr:nvSpPr>
            <xdr:cNvPr id="36" name="テキスト ボックス 35">
              <a:extLst>
                <a:ext uri="{FF2B5EF4-FFF2-40B4-BE49-F238E27FC236}">
                  <a16:creationId xmlns:a16="http://schemas.microsoft.com/office/drawing/2014/main" id="{00000000-0008-0000-0A00-000024000000}"/>
                </a:ext>
              </a:extLst>
            </xdr:cNvPr>
            <xdr:cNvSpPr txBox="1"/>
          </xdr:nvSpPr>
          <xdr:spPr>
            <a:xfrm>
              <a:off x="1267063" y="4118464"/>
              <a:ext cx="236942"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0543DC8-30C5-480A-A688-0E87EFBB0112}"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D49">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149518" y="4100880"/>
              <a:ext cx="22463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8A71FA5-9DA9-4A6A-B89E-AB7712BF5AE9}"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B51">
          <xdr:nvSpPr>
            <xdr:cNvPr id="46" name="テキスト ボックス 45">
              <a:extLst>
                <a:ext uri="{FF2B5EF4-FFF2-40B4-BE49-F238E27FC236}">
                  <a16:creationId xmlns:a16="http://schemas.microsoft.com/office/drawing/2014/main" id="{00000000-0008-0000-0A00-00002E000000}"/>
                </a:ext>
              </a:extLst>
            </xdr:cNvPr>
            <xdr:cNvSpPr txBox="1"/>
          </xdr:nvSpPr>
          <xdr:spPr>
            <a:xfrm>
              <a:off x="483576" y="7058025"/>
              <a:ext cx="221702"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DDB19A9-8C21-4730-8196-23FDA283A89A}"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B52">
          <xdr:nvSpPr>
            <xdr:cNvPr id="47" name="テキスト ボックス 46">
              <a:extLst>
                <a:ext uri="{FF2B5EF4-FFF2-40B4-BE49-F238E27FC236}">
                  <a16:creationId xmlns:a16="http://schemas.microsoft.com/office/drawing/2014/main" id="{00000000-0008-0000-0A00-00002F000000}"/>
                </a:ext>
              </a:extLst>
            </xdr:cNvPr>
            <xdr:cNvSpPr txBox="1"/>
          </xdr:nvSpPr>
          <xdr:spPr>
            <a:xfrm>
              <a:off x="4103075" y="7058025"/>
              <a:ext cx="221702"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E03B6F7-0F14-4FA0-96E0-EFB48C134D14}"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基本情報!$L$5">
          <xdr:nvSpPr>
            <xdr:cNvPr id="48" name="テキスト ボックス 47">
              <a:extLst>
                <a:ext uri="{FF2B5EF4-FFF2-40B4-BE49-F238E27FC236}">
                  <a16:creationId xmlns:a16="http://schemas.microsoft.com/office/drawing/2014/main" id="{00000000-0008-0000-0A00-000030000000}"/>
                </a:ext>
              </a:extLst>
            </xdr:cNvPr>
            <xdr:cNvSpPr txBox="1"/>
          </xdr:nvSpPr>
          <xdr:spPr>
            <a:xfrm>
              <a:off x="2213464" y="4911480"/>
              <a:ext cx="646967" cy="244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2EA68586-3406-43DF-BE44-4F40AC2A9CD7}"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6">
          <xdr:nvSpPr>
            <xdr:cNvPr id="49" name="テキスト ボックス 48">
              <a:extLst>
                <a:ext uri="{FF2B5EF4-FFF2-40B4-BE49-F238E27FC236}">
                  <a16:creationId xmlns:a16="http://schemas.microsoft.com/office/drawing/2014/main" id="{00000000-0008-0000-0A00-000031000000}"/>
                </a:ext>
              </a:extLst>
            </xdr:cNvPr>
            <xdr:cNvSpPr txBox="1"/>
          </xdr:nvSpPr>
          <xdr:spPr>
            <a:xfrm>
              <a:off x="2213464" y="5276360"/>
              <a:ext cx="646967" cy="244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01E1131C-A61C-41D3-B3A4-8A3823A07352}"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7">
          <xdr:nvSpPr>
            <xdr:cNvPr id="50" name="テキスト ボックス 49">
              <a:extLst>
                <a:ext uri="{FF2B5EF4-FFF2-40B4-BE49-F238E27FC236}">
                  <a16:creationId xmlns:a16="http://schemas.microsoft.com/office/drawing/2014/main" id="{00000000-0008-0000-0A00-000032000000}"/>
                </a:ext>
              </a:extLst>
            </xdr:cNvPr>
            <xdr:cNvSpPr txBox="1"/>
          </xdr:nvSpPr>
          <xdr:spPr>
            <a:xfrm>
              <a:off x="2213464" y="5673478"/>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BCCA444D-F19F-45A1-AC4E-2EFF86D32CFC}"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8">
          <xdr:nvSpPr>
            <xdr:cNvPr id="51" name="テキスト ボックス 50">
              <a:extLst>
                <a:ext uri="{FF2B5EF4-FFF2-40B4-BE49-F238E27FC236}">
                  <a16:creationId xmlns:a16="http://schemas.microsoft.com/office/drawing/2014/main" id="{00000000-0008-0000-0A00-000033000000}"/>
                </a:ext>
              </a:extLst>
            </xdr:cNvPr>
            <xdr:cNvSpPr txBox="1"/>
          </xdr:nvSpPr>
          <xdr:spPr>
            <a:xfrm>
              <a:off x="2213464" y="6074993"/>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54BC6E07-5547-4891-A8D5-6BC1C06DD45F}"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9">
          <xdr:nvSpPr>
            <xdr:cNvPr id="52" name="テキスト ボックス 51">
              <a:extLst>
                <a:ext uri="{FF2B5EF4-FFF2-40B4-BE49-F238E27FC236}">
                  <a16:creationId xmlns:a16="http://schemas.microsoft.com/office/drawing/2014/main" id="{00000000-0008-0000-0A00-000034000000}"/>
                </a:ext>
              </a:extLst>
            </xdr:cNvPr>
            <xdr:cNvSpPr txBox="1"/>
          </xdr:nvSpPr>
          <xdr:spPr>
            <a:xfrm>
              <a:off x="2213464" y="6432546"/>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EFE16397-9D32-4F74-8DA2-2F71748F4192}"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0">
          <xdr:nvSpPr>
            <xdr:cNvPr id="53" name="テキスト ボックス 52">
              <a:extLst>
                <a:ext uri="{FF2B5EF4-FFF2-40B4-BE49-F238E27FC236}">
                  <a16:creationId xmlns:a16="http://schemas.microsoft.com/office/drawing/2014/main" id="{00000000-0008-0000-0A00-000035000000}"/>
                </a:ext>
              </a:extLst>
            </xdr:cNvPr>
            <xdr:cNvSpPr txBox="1"/>
          </xdr:nvSpPr>
          <xdr:spPr>
            <a:xfrm>
              <a:off x="2213464" y="6768119"/>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1820C70D-8AFB-41A4-AEE6-CFD146C12367}"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1">
          <xdr:nvSpPr>
            <xdr:cNvPr id="54" name="テキスト ボックス 53">
              <a:extLst>
                <a:ext uri="{FF2B5EF4-FFF2-40B4-BE49-F238E27FC236}">
                  <a16:creationId xmlns:a16="http://schemas.microsoft.com/office/drawing/2014/main" id="{00000000-0008-0000-0A00-000036000000}"/>
                </a:ext>
              </a:extLst>
            </xdr:cNvPr>
            <xdr:cNvSpPr txBox="1"/>
          </xdr:nvSpPr>
          <xdr:spPr>
            <a:xfrm>
              <a:off x="3489814" y="4926133"/>
              <a:ext cx="646967" cy="244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AF42D08F-D30E-4F33-8322-75EFAD1BC10B}"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2">
          <xdr:nvSpPr>
            <xdr:cNvPr id="55" name="テキスト ボックス 54">
              <a:extLst>
                <a:ext uri="{FF2B5EF4-FFF2-40B4-BE49-F238E27FC236}">
                  <a16:creationId xmlns:a16="http://schemas.microsoft.com/office/drawing/2014/main" id="{00000000-0008-0000-0A00-000037000000}"/>
                </a:ext>
              </a:extLst>
            </xdr:cNvPr>
            <xdr:cNvSpPr txBox="1"/>
          </xdr:nvSpPr>
          <xdr:spPr>
            <a:xfrm>
              <a:off x="3489814" y="5291013"/>
              <a:ext cx="646967" cy="244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0D495CF1-E54B-4FE8-9257-89DF54432326}"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3">
          <xdr:nvSpPr>
            <xdr:cNvPr id="56" name="テキスト ボックス 55">
              <a:extLst>
                <a:ext uri="{FF2B5EF4-FFF2-40B4-BE49-F238E27FC236}">
                  <a16:creationId xmlns:a16="http://schemas.microsoft.com/office/drawing/2014/main" id="{00000000-0008-0000-0A00-000038000000}"/>
                </a:ext>
              </a:extLst>
            </xdr:cNvPr>
            <xdr:cNvSpPr txBox="1"/>
          </xdr:nvSpPr>
          <xdr:spPr>
            <a:xfrm>
              <a:off x="3489814" y="5666152"/>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BD4F91F8-315B-4C8F-9563-2C43748BA614}"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4">
          <xdr:nvSpPr>
            <xdr:cNvPr id="57" name="テキスト ボックス 56">
              <a:extLst>
                <a:ext uri="{FF2B5EF4-FFF2-40B4-BE49-F238E27FC236}">
                  <a16:creationId xmlns:a16="http://schemas.microsoft.com/office/drawing/2014/main" id="{00000000-0008-0000-0A00-000039000000}"/>
                </a:ext>
              </a:extLst>
            </xdr:cNvPr>
            <xdr:cNvSpPr txBox="1"/>
          </xdr:nvSpPr>
          <xdr:spPr>
            <a:xfrm>
              <a:off x="3489814" y="6060341"/>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D1DE36B7-03CC-4589-88F9-32B064A062D0}"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5">
          <xdr:nvSpPr>
            <xdr:cNvPr id="58" name="テキスト ボックス 57">
              <a:extLst>
                <a:ext uri="{FF2B5EF4-FFF2-40B4-BE49-F238E27FC236}">
                  <a16:creationId xmlns:a16="http://schemas.microsoft.com/office/drawing/2014/main" id="{00000000-0008-0000-0A00-00003A000000}"/>
                </a:ext>
              </a:extLst>
            </xdr:cNvPr>
            <xdr:cNvSpPr txBox="1"/>
          </xdr:nvSpPr>
          <xdr:spPr>
            <a:xfrm>
              <a:off x="3489814" y="6439875"/>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3EF043AF-6A6A-4507-86E4-D501512A80EF}"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6">
          <xdr:nvSpPr>
            <xdr:cNvPr id="59" name="テキスト ボックス 58">
              <a:extLst>
                <a:ext uri="{FF2B5EF4-FFF2-40B4-BE49-F238E27FC236}">
                  <a16:creationId xmlns:a16="http://schemas.microsoft.com/office/drawing/2014/main" id="{00000000-0008-0000-0A00-00003B000000}"/>
                </a:ext>
              </a:extLst>
            </xdr:cNvPr>
            <xdr:cNvSpPr txBox="1"/>
          </xdr:nvSpPr>
          <xdr:spPr>
            <a:xfrm>
              <a:off x="3489814" y="6768122"/>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AC0F02D1-F9B5-4D92-B379-282596B154EF}"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7">
          <xdr:nvSpPr>
            <xdr:cNvPr id="60" name="テキスト ボックス 59">
              <a:extLst>
                <a:ext uri="{FF2B5EF4-FFF2-40B4-BE49-F238E27FC236}">
                  <a16:creationId xmlns:a16="http://schemas.microsoft.com/office/drawing/2014/main" id="{00000000-0008-0000-0A00-00003C000000}"/>
                </a:ext>
              </a:extLst>
            </xdr:cNvPr>
            <xdr:cNvSpPr txBox="1"/>
          </xdr:nvSpPr>
          <xdr:spPr>
            <a:xfrm>
              <a:off x="4783749" y="4926133"/>
              <a:ext cx="646968" cy="244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310F84C6-E047-4F86-A27B-5BD88C92BD40}"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8">
          <xdr:nvSpPr>
            <xdr:cNvPr id="61" name="テキスト ボックス 60">
              <a:extLst>
                <a:ext uri="{FF2B5EF4-FFF2-40B4-BE49-F238E27FC236}">
                  <a16:creationId xmlns:a16="http://schemas.microsoft.com/office/drawing/2014/main" id="{00000000-0008-0000-0A00-00003D000000}"/>
                </a:ext>
              </a:extLst>
            </xdr:cNvPr>
            <xdr:cNvSpPr txBox="1"/>
          </xdr:nvSpPr>
          <xdr:spPr>
            <a:xfrm>
              <a:off x="4783749" y="5291013"/>
              <a:ext cx="646968" cy="244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F2AE28BB-06AB-410C-A725-315473B6F693}"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19">
          <xdr:nvSpPr>
            <xdr:cNvPr id="62" name="テキスト ボックス 61">
              <a:extLst>
                <a:ext uri="{FF2B5EF4-FFF2-40B4-BE49-F238E27FC236}">
                  <a16:creationId xmlns:a16="http://schemas.microsoft.com/office/drawing/2014/main" id="{00000000-0008-0000-0A00-00003E000000}"/>
                </a:ext>
              </a:extLst>
            </xdr:cNvPr>
            <xdr:cNvSpPr txBox="1"/>
          </xdr:nvSpPr>
          <xdr:spPr>
            <a:xfrm>
              <a:off x="4783749" y="5666152"/>
              <a:ext cx="646968"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216F12D5-842B-4FAD-9223-B48741EFF8B6}"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20">
          <xdr:nvSpPr>
            <xdr:cNvPr id="63" name="テキスト ボックス 62">
              <a:extLst>
                <a:ext uri="{FF2B5EF4-FFF2-40B4-BE49-F238E27FC236}">
                  <a16:creationId xmlns:a16="http://schemas.microsoft.com/office/drawing/2014/main" id="{00000000-0008-0000-0A00-00003F000000}"/>
                </a:ext>
              </a:extLst>
            </xdr:cNvPr>
            <xdr:cNvSpPr txBox="1"/>
          </xdr:nvSpPr>
          <xdr:spPr>
            <a:xfrm>
              <a:off x="4783749" y="6060341"/>
              <a:ext cx="646968"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8573D35C-E0EB-479C-BC54-DDC118DCBE9D}"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22">
          <xdr:nvSpPr>
            <xdr:cNvPr id="64" name="テキスト ボックス 63">
              <a:extLst>
                <a:ext uri="{FF2B5EF4-FFF2-40B4-BE49-F238E27FC236}">
                  <a16:creationId xmlns:a16="http://schemas.microsoft.com/office/drawing/2014/main" id="{00000000-0008-0000-0A00-000040000000}"/>
                </a:ext>
              </a:extLst>
            </xdr:cNvPr>
            <xdr:cNvSpPr txBox="1"/>
          </xdr:nvSpPr>
          <xdr:spPr>
            <a:xfrm>
              <a:off x="6096733" y="4926134"/>
              <a:ext cx="646967" cy="244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B47ACA41-4789-4A57-A938-49FE1B6FCD54}"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23">
          <xdr:nvSpPr>
            <xdr:cNvPr id="65" name="テキスト ボックス 64">
              <a:extLst>
                <a:ext uri="{FF2B5EF4-FFF2-40B4-BE49-F238E27FC236}">
                  <a16:creationId xmlns:a16="http://schemas.microsoft.com/office/drawing/2014/main" id="{00000000-0008-0000-0A00-000041000000}"/>
                </a:ext>
              </a:extLst>
            </xdr:cNvPr>
            <xdr:cNvSpPr txBox="1"/>
          </xdr:nvSpPr>
          <xdr:spPr>
            <a:xfrm>
              <a:off x="6096733" y="5291014"/>
              <a:ext cx="646967" cy="244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A8DAFCBF-117A-460F-9D68-56569AD8F2CC}"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24">
          <xdr:nvSpPr>
            <xdr:cNvPr id="66" name="テキスト ボックス 65">
              <a:extLst>
                <a:ext uri="{FF2B5EF4-FFF2-40B4-BE49-F238E27FC236}">
                  <a16:creationId xmlns:a16="http://schemas.microsoft.com/office/drawing/2014/main" id="{00000000-0008-0000-0A00-000042000000}"/>
                </a:ext>
              </a:extLst>
            </xdr:cNvPr>
            <xdr:cNvSpPr txBox="1"/>
          </xdr:nvSpPr>
          <xdr:spPr>
            <a:xfrm>
              <a:off x="6096733" y="5666153"/>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06B5F4EB-9DBE-4BB6-AE39-2D27031F5AAC}"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基本情報!$L$25">
          <xdr:nvSpPr>
            <xdr:cNvPr id="67" name="テキスト ボックス 66">
              <a:extLst>
                <a:ext uri="{FF2B5EF4-FFF2-40B4-BE49-F238E27FC236}">
                  <a16:creationId xmlns:a16="http://schemas.microsoft.com/office/drawing/2014/main" id="{00000000-0008-0000-0A00-000043000000}"/>
                </a:ext>
              </a:extLst>
            </xdr:cNvPr>
            <xdr:cNvSpPr txBox="1"/>
          </xdr:nvSpPr>
          <xdr:spPr>
            <a:xfrm>
              <a:off x="6096733" y="6060342"/>
              <a:ext cx="646967"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BC121778-CAEA-4D41-BF8E-396B2FABE464}" type="TxLink">
                <a:rPr kumimoji="1" lang="en-US" altLang="en-US" sz="1050" b="0" i="0" u="none" strike="noStrike" spc="910" baseline="0">
                  <a:solidFill>
                    <a:srgbClr val="000000"/>
                  </a:solidFill>
                  <a:latin typeface="OCRB" panose="020B0609020202020204" pitchFamily="49" charset="0"/>
                  <a:ea typeface="ＭＳ Ｐゴシック"/>
                </a:rPr>
                <a:pPr algn="r"/>
                <a:t> </a:t>
              </a:fld>
              <a:endParaRPr kumimoji="1" lang="en-US" altLang="en-US" sz="1050" b="0" i="0" u="none" strike="noStrike" spc="910" baseline="0">
                <a:solidFill>
                  <a:srgbClr val="000000"/>
                </a:solidFill>
                <a:latin typeface="OCRB" panose="020B0609020202020204" pitchFamily="49" charset="0"/>
                <a:ea typeface="+mj-ea"/>
              </a:endParaRPr>
            </a:p>
          </xdr:txBody>
        </xdr:sp>
        <xdr:sp macro="" textlink="基本情報!$L$26">
          <xdr:nvSpPr>
            <xdr:cNvPr id="68" name="テキスト ボックス 67">
              <a:extLst>
                <a:ext uri="{FF2B5EF4-FFF2-40B4-BE49-F238E27FC236}">
                  <a16:creationId xmlns:a16="http://schemas.microsoft.com/office/drawing/2014/main" id="{00000000-0008-0000-0A00-000044000000}"/>
                </a:ext>
              </a:extLst>
            </xdr:cNvPr>
            <xdr:cNvSpPr txBox="1"/>
          </xdr:nvSpPr>
          <xdr:spPr>
            <a:xfrm>
              <a:off x="6015508" y="6754515"/>
              <a:ext cx="898400" cy="257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35B4F92F-13EC-46CB-9905-A3D653F4CF4D}" type="TxLink">
                <a:rPr kumimoji="1" lang="en-US" altLang="en-US" sz="1050" b="0" i="0" u="none" strike="noStrike" spc="910" baseline="0">
                  <a:solidFill>
                    <a:srgbClr val="000000"/>
                  </a:solidFill>
                  <a:latin typeface="OCRB" panose="020B0609020202020204" pitchFamily="49" charset="0"/>
                  <a:ea typeface="ＭＳ Ｐゴシック"/>
                </a:rPr>
                <a:pPr algn="r"/>
                <a:t>0</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計算シート!B54">
          <xdr:nvSpPr>
            <xdr:cNvPr id="71" name="テキスト ボックス 70">
              <a:extLst>
                <a:ext uri="{FF2B5EF4-FFF2-40B4-BE49-F238E27FC236}">
                  <a16:creationId xmlns:a16="http://schemas.microsoft.com/office/drawing/2014/main" id="{00000000-0008-0000-0A00-000047000000}"/>
                </a:ext>
              </a:extLst>
            </xdr:cNvPr>
            <xdr:cNvSpPr txBox="1"/>
          </xdr:nvSpPr>
          <xdr:spPr>
            <a:xfrm>
              <a:off x="4708279" y="6423513"/>
              <a:ext cx="22170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4EABF1F2-341D-4FEE-B1E3-E5F1EDE8697D}"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C54">
          <xdr:nvSpPr>
            <xdr:cNvPr id="72" name="テキスト ボックス 71">
              <a:extLst>
                <a:ext uri="{FF2B5EF4-FFF2-40B4-BE49-F238E27FC236}">
                  <a16:creationId xmlns:a16="http://schemas.microsoft.com/office/drawing/2014/main" id="{00000000-0008-0000-0A00-000048000000}"/>
                </a:ext>
              </a:extLst>
            </xdr:cNvPr>
            <xdr:cNvSpPr txBox="1"/>
          </xdr:nvSpPr>
          <xdr:spPr>
            <a:xfrm>
              <a:off x="5144964" y="6421315"/>
              <a:ext cx="224633" cy="26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810F887-8529-4BB2-AD6F-4D8D3BEE3A2E}" type="TxLink">
                <a:rPr kumimoji="1" lang="en-US" altLang="en-US" sz="1100" b="0" i="0" u="none" strike="noStrike">
                  <a:solidFill>
                    <a:srgbClr val="000000"/>
                  </a:solidFill>
                  <a:latin typeface="ＭＳ Ｐゴシック"/>
                  <a:ea typeface="ＭＳ Ｐゴシック"/>
                </a:rPr>
                <a:pPr/>
                <a:t>レ</a:t>
              </a:fld>
              <a:endParaRPr kumimoji="1" lang="ja-JP" altLang="en-US" sz="1050">
                <a:latin typeface="OCRB" panose="020B0609020202020204" pitchFamily="49" charset="0"/>
              </a:endParaRPr>
            </a:p>
          </xdr:txBody>
        </xdr:sp>
        <xdr:sp macro="" textlink="基本情報!L27">
          <xdr:nvSpPr>
            <xdr:cNvPr id="73" name="テキスト ボックス 72">
              <a:extLst>
                <a:ext uri="{FF2B5EF4-FFF2-40B4-BE49-F238E27FC236}">
                  <a16:creationId xmlns:a16="http://schemas.microsoft.com/office/drawing/2014/main" id="{00000000-0008-0000-0A00-000049000000}"/>
                </a:ext>
              </a:extLst>
            </xdr:cNvPr>
            <xdr:cNvSpPr txBox="1"/>
          </xdr:nvSpPr>
          <xdr:spPr>
            <a:xfrm>
              <a:off x="1701312" y="6989884"/>
              <a:ext cx="202076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fld id="{E659DD83-AA14-4DE8-9821-0DE6DB2E3746}" type="TxLink">
                <a:rPr kumimoji="1" lang="ja-JP" altLang="en-US" sz="1000" b="0" i="0" u="none" strike="noStrike">
                  <a:solidFill>
                    <a:srgbClr val="000000"/>
                  </a:solidFill>
                  <a:latin typeface="ＭＳ Ｐゴシック"/>
                  <a:ea typeface="ＭＳ Ｐゴシック"/>
                </a:rPr>
                <a:pPr/>
                <a:t> </a:t>
              </a:fld>
              <a:endParaRPr kumimoji="1" lang="ja-JP" altLang="en-US" sz="900"/>
            </a:p>
          </xdr:txBody>
        </xdr:sp>
        <xdr:sp macro="" textlink="基本情報!L28">
          <xdr:nvSpPr>
            <xdr:cNvPr id="74" name="テキスト ボックス 73">
              <a:extLst>
                <a:ext uri="{FF2B5EF4-FFF2-40B4-BE49-F238E27FC236}">
                  <a16:creationId xmlns:a16="http://schemas.microsoft.com/office/drawing/2014/main" id="{00000000-0008-0000-0A00-00004A000000}"/>
                </a:ext>
              </a:extLst>
            </xdr:cNvPr>
            <xdr:cNvSpPr txBox="1"/>
          </xdr:nvSpPr>
          <xdr:spPr>
            <a:xfrm>
              <a:off x="5728188" y="7054361"/>
              <a:ext cx="15987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fld id="{CF2D95FE-1F75-4294-AFD8-ECD54650C578}" type="TxLink">
                <a:rPr kumimoji="1" lang="ja-JP" altLang="en-US" sz="1000" b="0" i="0" u="none" strike="noStrike">
                  <a:solidFill>
                    <a:srgbClr val="000000"/>
                  </a:solidFill>
                  <a:latin typeface="ＭＳ Ｐゴシック"/>
                  <a:ea typeface="ＭＳ Ｐゴシック"/>
                </a:rPr>
                <a:pPr/>
                <a:t> </a:t>
              </a:fld>
              <a:endParaRPr kumimoji="1" lang="ja-JP" altLang="en-US" sz="900"/>
            </a:p>
          </xdr:txBody>
        </xdr:sp>
        <xdr:sp macro="" textlink="基本情報!B20">
          <xdr:nvSpPr>
            <xdr:cNvPr id="75" name="テキスト ボックス 74">
              <a:extLst>
                <a:ext uri="{FF2B5EF4-FFF2-40B4-BE49-F238E27FC236}">
                  <a16:creationId xmlns:a16="http://schemas.microsoft.com/office/drawing/2014/main" id="{00000000-0008-0000-0A00-00004B000000}"/>
                </a:ext>
              </a:extLst>
            </xdr:cNvPr>
            <xdr:cNvSpPr txBox="1"/>
          </xdr:nvSpPr>
          <xdr:spPr>
            <a:xfrm>
              <a:off x="461596" y="7624397"/>
              <a:ext cx="6938595" cy="100671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fld id="{A1F7E12E-57B2-4F75-95C8-8C61E20A2A21}" type="TxLink">
                <a:rPr kumimoji="1" lang="en-US" altLang="en-US" sz="900" b="0" i="0" u="none" strike="noStrike">
                  <a:solidFill>
                    <a:schemeClr val="bg1"/>
                  </a:solidFill>
                  <a:latin typeface="ＭＳ Ｐゴシック"/>
                  <a:ea typeface="ＭＳ Ｐゴシック"/>
                </a:rPr>
                <a:pPr algn="ctr"/>
                <a:t> </a:t>
              </a:fld>
              <a:endParaRPr kumimoji="1" lang="ja-JP" altLang="en-US" sz="2000" b="0" i="0" u="none" strike="noStrike">
                <a:solidFill>
                  <a:schemeClr val="bg1"/>
                </a:solidFill>
                <a:latin typeface="ＭＳ Ｐゴシック"/>
                <a:ea typeface="ＭＳ Ｐゴシック"/>
              </a:endParaRPr>
            </a:p>
          </xdr:txBody>
        </xdr:sp>
        <xdr:sp macro="" textlink="計算シート!C40">
          <xdr:nvSpPr>
            <xdr:cNvPr id="330" name="テキスト ボックス 329">
              <a:extLst>
                <a:ext uri="{FF2B5EF4-FFF2-40B4-BE49-F238E27FC236}">
                  <a16:creationId xmlns:a16="http://schemas.microsoft.com/office/drawing/2014/main" id="{00000000-0008-0000-0A00-00004A010000}"/>
                </a:ext>
              </a:extLst>
            </xdr:cNvPr>
            <xdr:cNvSpPr txBox="1"/>
          </xdr:nvSpPr>
          <xdr:spPr>
            <a:xfrm>
              <a:off x="2901813" y="1117600"/>
              <a:ext cx="634861"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B8FC611-6223-43F4-8F1D-90C03900C391}" type="TxLink">
                <a:rPr kumimoji="1" lang="en-US" altLang="en-US" sz="1050" b="0" i="0" u="none" strike="noStrike" spc="910" baseline="0">
                  <a:solidFill>
                    <a:srgbClr val="000000"/>
                  </a:solidFill>
                  <a:latin typeface="OCRB" pitchFamily="49" charset="0"/>
                  <a:ea typeface="ＭＳ Ｐゴシック"/>
                </a:rPr>
                <a:pPr/>
                <a:t>055</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S2">
          <xdr:nvSpPr>
            <xdr:cNvPr id="335" name="テキスト ボックス 334">
              <a:extLst>
                <a:ext uri="{FF2B5EF4-FFF2-40B4-BE49-F238E27FC236}">
                  <a16:creationId xmlns:a16="http://schemas.microsoft.com/office/drawing/2014/main" id="{00000000-0008-0000-0A00-00004F010000}"/>
                </a:ext>
              </a:extLst>
            </xdr:cNvPr>
            <xdr:cNvSpPr txBox="1"/>
          </xdr:nvSpPr>
          <xdr:spPr>
            <a:xfrm>
              <a:off x="4842427" y="1117600"/>
              <a:ext cx="537956"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F3C61E32-25DE-4BC2-90FD-09064F2380DB}" type="TxLink">
                <a:rPr kumimoji="1" lang="en-US" altLang="en-US" sz="1050" b="0" i="0" u="none" strike="noStrike" spc="910" baseline="0">
                  <a:solidFill>
                    <a:srgbClr val="000000"/>
                  </a:solidFill>
                  <a:latin typeface="OCRB" pitchFamily="49" charset="0"/>
                  <a:ea typeface="ＭＳ Ｐゴシック"/>
                </a:rPr>
                <a:pPr/>
                <a:t>000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U2">
          <xdr:nvSpPr>
            <xdr:cNvPr id="336" name="テキスト ボックス 335">
              <a:extLst>
                <a:ext uri="{FF2B5EF4-FFF2-40B4-BE49-F238E27FC236}">
                  <a16:creationId xmlns:a16="http://schemas.microsoft.com/office/drawing/2014/main" id="{00000000-0008-0000-0A00-000050010000}"/>
                </a:ext>
              </a:extLst>
            </xdr:cNvPr>
            <xdr:cNvSpPr txBox="1"/>
          </xdr:nvSpPr>
          <xdr:spPr>
            <a:xfrm>
              <a:off x="5463622" y="1117600"/>
              <a:ext cx="774838"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2CDD2BCA-ADDF-44AA-AA21-4D635A473CE8}" type="TxLink">
                <a:rPr kumimoji="1" lang="en-US" altLang="en-US" sz="1050" b="0" i="0" u="none" strike="noStrike" spc="910" baseline="0">
                  <a:solidFill>
                    <a:srgbClr val="000000"/>
                  </a:solidFill>
                  <a:latin typeface="OCRB" pitchFamily="49" charset="0"/>
                  <a:ea typeface="ＭＳ Ｐゴシック"/>
                </a:rPr>
                <a:pPr/>
                <a:t>0000</a:t>
              </a:fld>
              <a:endParaRPr kumimoji="1" lang="en-US" altLang="en-US" sz="1050" b="0" i="0" u="none" strike="noStrike" spc="910" baseline="0">
                <a:solidFill>
                  <a:srgbClr val="000000"/>
                </a:solidFill>
                <a:latin typeface="OCRB" pitchFamily="49" charset="0"/>
                <a:ea typeface="ＭＳ Ｐゴシック"/>
              </a:endParaRPr>
            </a:p>
          </xdr:txBody>
        </xdr:sp>
        <xdr:sp macro="" textlink="">
          <xdr:nvSpPr>
            <xdr:cNvPr id="344" name="テキスト ボックス 343">
              <a:extLst>
                <a:ext uri="{FF2B5EF4-FFF2-40B4-BE49-F238E27FC236}">
                  <a16:creationId xmlns:a16="http://schemas.microsoft.com/office/drawing/2014/main" id="{00000000-0008-0000-0A00-000058010000}"/>
                </a:ext>
              </a:extLst>
            </xdr:cNvPr>
            <xdr:cNvSpPr txBox="1"/>
          </xdr:nvSpPr>
          <xdr:spPr>
            <a:xfrm>
              <a:off x="356151" y="1700420"/>
              <a:ext cx="540663" cy="226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b="1"/>
                <a:t>名前</a:t>
              </a:r>
            </a:p>
          </xdr:txBody>
        </xdr:sp>
        <xdr:sp macro="" textlink="">
          <xdr:nvSpPr>
            <xdr:cNvPr id="345" name="テキスト ボックス 344">
              <a:extLst>
                <a:ext uri="{FF2B5EF4-FFF2-40B4-BE49-F238E27FC236}">
                  <a16:creationId xmlns:a16="http://schemas.microsoft.com/office/drawing/2014/main" id="{00000000-0008-0000-0A00-000059010000}"/>
                </a:ext>
              </a:extLst>
            </xdr:cNvPr>
            <xdr:cNvSpPr txBox="1"/>
          </xdr:nvSpPr>
          <xdr:spPr>
            <a:xfrm>
              <a:off x="928992" y="2126304"/>
              <a:ext cx="1083799" cy="334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kumimoji="1" lang="ja-JP" altLang="en-US" sz="1200" b="0"/>
                <a:t>訪問調査先</a:t>
              </a:r>
            </a:p>
          </xdr:txBody>
        </xdr:sp>
        <xdr:sp macro="" textlink="">
          <xdr:nvSpPr>
            <xdr:cNvPr id="348" name="正方形/長方形 347">
              <a:extLst>
                <a:ext uri="{FF2B5EF4-FFF2-40B4-BE49-F238E27FC236}">
                  <a16:creationId xmlns:a16="http://schemas.microsoft.com/office/drawing/2014/main" id="{00000000-0008-0000-0A00-00005C010000}"/>
                </a:ext>
              </a:extLst>
            </xdr:cNvPr>
            <xdr:cNvSpPr/>
          </xdr:nvSpPr>
          <xdr:spPr>
            <a:xfrm>
              <a:off x="548640" y="2086519"/>
              <a:ext cx="327661" cy="16034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51" name="正方形/長方形 350">
              <a:extLst>
                <a:ext uri="{FF2B5EF4-FFF2-40B4-BE49-F238E27FC236}">
                  <a16:creationId xmlns:a16="http://schemas.microsoft.com/office/drawing/2014/main" id="{00000000-0008-0000-0A00-00005F010000}"/>
                </a:ext>
              </a:extLst>
            </xdr:cNvPr>
            <xdr:cNvSpPr/>
          </xdr:nvSpPr>
          <xdr:spPr>
            <a:xfrm>
              <a:off x="2091690" y="2518410"/>
              <a:ext cx="895350" cy="13716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52" name="テキスト ボックス 351">
              <a:extLst>
                <a:ext uri="{FF2B5EF4-FFF2-40B4-BE49-F238E27FC236}">
                  <a16:creationId xmlns:a16="http://schemas.microsoft.com/office/drawing/2014/main" id="{00000000-0008-0000-0A00-000060010000}"/>
                </a:ext>
              </a:extLst>
            </xdr:cNvPr>
            <xdr:cNvSpPr txBox="1"/>
          </xdr:nvSpPr>
          <xdr:spPr>
            <a:xfrm>
              <a:off x="2076450" y="2508885"/>
              <a:ext cx="480060"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名前</a:t>
              </a:r>
            </a:p>
          </xdr:txBody>
        </xdr:sp>
        <xdr:sp macro="" textlink="">
          <xdr:nvSpPr>
            <xdr:cNvPr id="354" name="テキスト ボックス 353">
              <a:extLst>
                <a:ext uri="{FF2B5EF4-FFF2-40B4-BE49-F238E27FC236}">
                  <a16:creationId xmlns:a16="http://schemas.microsoft.com/office/drawing/2014/main" id="{00000000-0008-0000-0A00-000062010000}"/>
                </a:ext>
              </a:extLst>
            </xdr:cNvPr>
            <xdr:cNvSpPr txBox="1"/>
          </xdr:nvSpPr>
          <xdr:spPr>
            <a:xfrm>
              <a:off x="2076450" y="2697480"/>
              <a:ext cx="480060"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名前</a:t>
              </a:r>
            </a:p>
          </xdr:txBody>
        </xdr:sp>
        <xdr:sp macro="" textlink="">
          <xdr:nvSpPr>
            <xdr:cNvPr id="355" name="テキスト ボックス 354">
              <a:extLst>
                <a:ext uri="{FF2B5EF4-FFF2-40B4-BE49-F238E27FC236}">
                  <a16:creationId xmlns:a16="http://schemas.microsoft.com/office/drawing/2014/main" id="{00000000-0008-0000-0A00-000063010000}"/>
                </a:ext>
              </a:extLst>
            </xdr:cNvPr>
            <xdr:cNvSpPr txBox="1"/>
          </xdr:nvSpPr>
          <xdr:spPr>
            <a:xfrm>
              <a:off x="3874769" y="2518410"/>
              <a:ext cx="533107"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関係</a:t>
              </a:r>
            </a:p>
          </xdr:txBody>
        </xdr:sp>
        <xdr:sp macro="" textlink="">
          <xdr:nvSpPr>
            <xdr:cNvPr id="358" name="テキスト ボックス 357">
              <a:extLst>
                <a:ext uri="{FF2B5EF4-FFF2-40B4-BE49-F238E27FC236}">
                  <a16:creationId xmlns:a16="http://schemas.microsoft.com/office/drawing/2014/main" id="{00000000-0008-0000-0A00-000066010000}"/>
                </a:ext>
              </a:extLst>
            </xdr:cNvPr>
            <xdr:cNvSpPr txBox="1"/>
          </xdr:nvSpPr>
          <xdr:spPr>
            <a:xfrm>
              <a:off x="384810" y="2716530"/>
              <a:ext cx="1656000" cy="182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kumimoji="1" lang="ja-JP" altLang="en-US" sz="900"/>
                <a:t>家族等日程調整者連絡先</a:t>
              </a:r>
            </a:p>
          </xdr:txBody>
        </xdr:sp>
        <xdr:sp macro="" textlink="">
          <xdr:nvSpPr>
            <xdr:cNvPr id="359" name="テキスト ボックス 358">
              <a:extLst>
                <a:ext uri="{FF2B5EF4-FFF2-40B4-BE49-F238E27FC236}">
                  <a16:creationId xmlns:a16="http://schemas.microsoft.com/office/drawing/2014/main" id="{00000000-0008-0000-0A00-000067010000}"/>
                </a:ext>
              </a:extLst>
            </xdr:cNvPr>
            <xdr:cNvSpPr txBox="1"/>
          </xdr:nvSpPr>
          <xdr:spPr>
            <a:xfrm>
              <a:off x="1295400" y="2518410"/>
              <a:ext cx="73914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kumimoji="1" lang="ja-JP" altLang="en-US" sz="1000"/>
                <a:t>同席者</a:t>
              </a:r>
            </a:p>
          </xdr:txBody>
        </xdr:sp>
        <xdr:sp macro="" textlink="">
          <xdr:nvSpPr>
            <xdr:cNvPr id="360" name="正方形/長方形 359">
              <a:extLst>
                <a:ext uri="{FF2B5EF4-FFF2-40B4-BE49-F238E27FC236}">
                  <a16:creationId xmlns:a16="http://schemas.microsoft.com/office/drawing/2014/main" id="{00000000-0008-0000-0A00-000068010000}"/>
                </a:ext>
              </a:extLst>
            </xdr:cNvPr>
            <xdr:cNvSpPr/>
          </xdr:nvSpPr>
          <xdr:spPr>
            <a:xfrm>
              <a:off x="545123" y="2518409"/>
              <a:ext cx="323557" cy="17057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61" name="テキスト ボックス 360">
              <a:extLst>
                <a:ext uri="{FF2B5EF4-FFF2-40B4-BE49-F238E27FC236}">
                  <a16:creationId xmlns:a16="http://schemas.microsoft.com/office/drawing/2014/main" id="{00000000-0008-0000-0A00-000069010000}"/>
                </a:ext>
              </a:extLst>
            </xdr:cNvPr>
            <xdr:cNvSpPr txBox="1"/>
          </xdr:nvSpPr>
          <xdr:spPr>
            <a:xfrm>
              <a:off x="358140" y="2099310"/>
              <a:ext cx="213360" cy="7886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900" b="1"/>
                <a:t>連絡事項等</a:t>
              </a:r>
            </a:p>
          </xdr:txBody>
        </xdr:sp>
        <xdr:sp macro="" textlink="">
          <xdr:nvSpPr>
            <xdr:cNvPr id="362" name="テキスト ボックス 361">
              <a:extLst>
                <a:ext uri="{FF2B5EF4-FFF2-40B4-BE49-F238E27FC236}">
                  <a16:creationId xmlns:a16="http://schemas.microsoft.com/office/drawing/2014/main" id="{00000000-0008-0000-0A00-00006A010000}"/>
                </a:ext>
              </a:extLst>
            </xdr:cNvPr>
            <xdr:cNvSpPr txBox="1"/>
          </xdr:nvSpPr>
          <xdr:spPr>
            <a:xfrm>
              <a:off x="5715000" y="2518410"/>
              <a:ext cx="281940" cy="182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900"/>
                <a:t>℡</a:t>
              </a:r>
            </a:p>
          </xdr:txBody>
        </xdr:sp>
        <xdr:sp macro="" textlink="">
          <xdr:nvSpPr>
            <xdr:cNvPr id="363" name="テキスト ボックス 362">
              <a:extLst>
                <a:ext uri="{FF2B5EF4-FFF2-40B4-BE49-F238E27FC236}">
                  <a16:creationId xmlns:a16="http://schemas.microsoft.com/office/drawing/2014/main" id="{00000000-0008-0000-0A00-00006B010000}"/>
                </a:ext>
              </a:extLst>
            </xdr:cNvPr>
            <xdr:cNvSpPr txBox="1"/>
          </xdr:nvSpPr>
          <xdr:spPr>
            <a:xfrm>
              <a:off x="5715000" y="2716530"/>
              <a:ext cx="281940" cy="182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900"/>
                <a:t>℡</a:t>
              </a:r>
            </a:p>
          </xdr:txBody>
        </xdr:sp>
        <xdr:sp macro="" textlink="">
          <xdr:nvSpPr>
            <xdr:cNvPr id="364" name="テキスト ボックス 363">
              <a:extLst>
                <a:ext uri="{FF2B5EF4-FFF2-40B4-BE49-F238E27FC236}">
                  <a16:creationId xmlns:a16="http://schemas.microsoft.com/office/drawing/2014/main" id="{00000000-0008-0000-0A00-00006C010000}"/>
                </a:ext>
              </a:extLst>
            </xdr:cNvPr>
            <xdr:cNvSpPr txBox="1"/>
          </xdr:nvSpPr>
          <xdr:spPr>
            <a:xfrm>
              <a:off x="5715000" y="2099310"/>
              <a:ext cx="281940" cy="373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900"/>
                <a:t>℡</a:t>
              </a:r>
            </a:p>
          </xdr:txBody>
        </xdr:sp>
        <xdr:sp macro="" textlink="">
          <xdr:nvSpPr>
            <xdr:cNvPr id="365" name="テキスト ボックス 364">
              <a:extLst>
                <a:ext uri="{FF2B5EF4-FFF2-40B4-BE49-F238E27FC236}">
                  <a16:creationId xmlns:a16="http://schemas.microsoft.com/office/drawing/2014/main" id="{00000000-0008-0000-0A00-00006D010000}"/>
                </a:ext>
              </a:extLst>
            </xdr:cNvPr>
            <xdr:cNvSpPr txBox="1"/>
          </xdr:nvSpPr>
          <xdr:spPr>
            <a:xfrm>
              <a:off x="2076450" y="2082351"/>
              <a:ext cx="959470" cy="1828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900"/>
                <a:t>住所</a:t>
              </a:r>
            </a:p>
          </xdr:txBody>
        </xdr:sp>
        <xdr:sp macro="" textlink="基本情報!B7">
          <xdr:nvSpPr>
            <xdr:cNvPr id="369" name="テキスト ボックス 368">
              <a:extLst>
                <a:ext uri="{FF2B5EF4-FFF2-40B4-BE49-F238E27FC236}">
                  <a16:creationId xmlns:a16="http://schemas.microsoft.com/office/drawing/2014/main" id="{00000000-0008-0000-0A00-000071010000}"/>
                </a:ext>
              </a:extLst>
            </xdr:cNvPr>
            <xdr:cNvSpPr txBox="1"/>
          </xdr:nvSpPr>
          <xdr:spPr>
            <a:xfrm>
              <a:off x="2537459" y="2104158"/>
              <a:ext cx="3126453" cy="347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0" rtlCol="0" anchor="t"/>
            <a:lstStyle/>
            <a:p>
              <a:pPr algn="l"/>
              <a:fld id="{69CE5E14-ED4B-4A66-A20B-084B56355C96}" type="TxLink">
                <a:rPr kumimoji="1" lang="ja-JP" altLang="en-US" sz="900" b="0" i="0" u="none" strike="noStrike">
                  <a:solidFill>
                    <a:srgbClr val="000000"/>
                  </a:solidFill>
                  <a:latin typeface="ＭＳ 明朝" pitchFamily="17" charset="-128"/>
                  <a:ea typeface="ＭＳ 明朝" pitchFamily="17" charset="-128"/>
                </a:rPr>
                <a:pPr algn="l"/>
                <a:t> </a:t>
              </a:fld>
              <a:endParaRPr kumimoji="1" lang="ja-JP" altLang="en-US" sz="1100">
                <a:latin typeface="ＭＳ 明朝" pitchFamily="17" charset="-128"/>
                <a:ea typeface="ＭＳ 明朝" pitchFamily="17" charset="-128"/>
              </a:endParaRPr>
            </a:p>
          </xdr:txBody>
        </xdr:sp>
        <xdr:sp macro="" textlink="基本情報!B9">
          <xdr:nvSpPr>
            <xdr:cNvPr id="370" name="テキスト ボックス 369">
              <a:extLst>
                <a:ext uri="{FF2B5EF4-FFF2-40B4-BE49-F238E27FC236}">
                  <a16:creationId xmlns:a16="http://schemas.microsoft.com/office/drawing/2014/main" id="{00000000-0008-0000-0A00-000072010000}"/>
                </a:ext>
              </a:extLst>
            </xdr:cNvPr>
            <xdr:cNvSpPr txBox="1"/>
          </xdr:nvSpPr>
          <xdr:spPr>
            <a:xfrm>
              <a:off x="2529320" y="2544040"/>
              <a:ext cx="1397578" cy="171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0" rtlCol="0" anchor="ctr"/>
            <a:lstStyle/>
            <a:p>
              <a:fld id="{70F9ED3C-6EE6-4BD2-8293-33253270071F}" type="TxLink">
                <a:rPr kumimoji="1" lang="en-US" altLang="en-US" sz="900" b="0" i="0" u="none" strike="noStrike">
                  <a:solidFill>
                    <a:srgbClr val="000000"/>
                  </a:solidFill>
                  <a:latin typeface="ＭＳ 明朝" pitchFamily="17" charset="-128"/>
                  <a:ea typeface="ＭＳ 明朝" pitchFamily="17" charset="-128"/>
                </a:rPr>
                <a:pPr/>
                <a:t> </a:t>
              </a:fld>
              <a:endParaRPr kumimoji="1" lang="ja-JP" altLang="en-US" sz="1100">
                <a:latin typeface="ＭＳ 明朝" pitchFamily="17" charset="-128"/>
                <a:ea typeface="ＭＳ 明朝" pitchFamily="17" charset="-128"/>
              </a:endParaRPr>
            </a:p>
          </xdr:txBody>
        </xdr:sp>
        <xdr:sp macro="" textlink="基本情報!B12">
          <xdr:nvSpPr>
            <xdr:cNvPr id="371" name="テキスト ボックス 370">
              <a:extLst>
                <a:ext uri="{FF2B5EF4-FFF2-40B4-BE49-F238E27FC236}">
                  <a16:creationId xmlns:a16="http://schemas.microsoft.com/office/drawing/2014/main" id="{00000000-0008-0000-0A00-000073010000}"/>
                </a:ext>
              </a:extLst>
            </xdr:cNvPr>
            <xdr:cNvSpPr txBox="1"/>
          </xdr:nvSpPr>
          <xdr:spPr>
            <a:xfrm>
              <a:off x="2529320" y="2697480"/>
              <a:ext cx="1397578" cy="197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bIns="46800" rtlCol="0" anchor="ctr"/>
            <a:lstStyle/>
            <a:p>
              <a:fld id="{387E2D92-A9F0-4196-90B6-5F6A4F9CC7B7}" type="TxLink">
                <a:rPr kumimoji="1" lang="en-US" altLang="en-US" sz="900" b="0" i="0" u="none" strike="noStrike">
                  <a:solidFill>
                    <a:srgbClr val="000000"/>
                  </a:solidFill>
                  <a:latin typeface="ＭＳ 明朝" pitchFamily="17" charset="-128"/>
                  <a:ea typeface="ＭＳ 明朝" pitchFamily="17" charset="-128"/>
                </a:rPr>
                <a:pPr/>
                <a:t> </a:t>
              </a:fld>
              <a:endParaRPr kumimoji="1" lang="ja-JP" altLang="en-US" sz="1100">
                <a:latin typeface="ＭＳ 明朝" pitchFamily="17" charset="-128"/>
                <a:ea typeface="ＭＳ 明朝" pitchFamily="17" charset="-128"/>
              </a:endParaRPr>
            </a:p>
          </xdr:txBody>
        </xdr:sp>
        <xdr:sp macro="" textlink="基本情報!B10">
          <xdr:nvSpPr>
            <xdr:cNvPr id="372" name="テキスト ボックス 371">
              <a:extLst>
                <a:ext uri="{FF2B5EF4-FFF2-40B4-BE49-F238E27FC236}">
                  <a16:creationId xmlns:a16="http://schemas.microsoft.com/office/drawing/2014/main" id="{00000000-0008-0000-0A00-000074010000}"/>
                </a:ext>
              </a:extLst>
            </xdr:cNvPr>
            <xdr:cNvSpPr txBox="1"/>
          </xdr:nvSpPr>
          <xdr:spPr>
            <a:xfrm>
              <a:off x="4358641" y="2532629"/>
              <a:ext cx="1305272" cy="187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0" rtlCol="0" anchor="ctr"/>
            <a:lstStyle/>
            <a:p>
              <a:fld id="{18E33CFB-7F5D-4A0F-8FAB-98C8D74F6EEA}" type="TxLink">
                <a:rPr kumimoji="1" lang="en-US" altLang="en-US" sz="900" b="0" i="0" u="none" strike="noStrike">
                  <a:solidFill>
                    <a:srgbClr val="000000"/>
                  </a:solidFill>
                  <a:latin typeface="ＭＳ 明朝" pitchFamily="17" charset="-128"/>
                  <a:ea typeface="ＭＳ 明朝" pitchFamily="17" charset="-128"/>
                </a:rPr>
                <a:pPr/>
                <a:t> </a:t>
              </a:fld>
              <a:endParaRPr kumimoji="1" lang="ja-JP" altLang="en-US" sz="1100">
                <a:latin typeface="ＭＳ 明朝" pitchFamily="17" charset="-128"/>
                <a:ea typeface="ＭＳ 明朝" pitchFamily="17" charset="-128"/>
              </a:endParaRPr>
            </a:p>
          </xdr:txBody>
        </xdr:sp>
        <xdr:sp macro="" textlink="基本情報!B13">
          <xdr:nvSpPr>
            <xdr:cNvPr id="373" name="テキスト ボックス 372">
              <a:extLst>
                <a:ext uri="{FF2B5EF4-FFF2-40B4-BE49-F238E27FC236}">
                  <a16:creationId xmlns:a16="http://schemas.microsoft.com/office/drawing/2014/main" id="{00000000-0008-0000-0A00-000075010000}"/>
                </a:ext>
              </a:extLst>
            </xdr:cNvPr>
            <xdr:cNvSpPr txBox="1"/>
          </xdr:nvSpPr>
          <xdr:spPr>
            <a:xfrm>
              <a:off x="4360445" y="2723283"/>
              <a:ext cx="1303467" cy="171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rtlCol="0" anchor="ctr"/>
            <a:lstStyle/>
            <a:p>
              <a:fld id="{210A0DEC-6DD6-4F98-94DC-9B152146F838}" type="TxLink">
                <a:rPr kumimoji="1" lang="en-US" altLang="en-US" sz="900" b="0" i="0" u="none" strike="noStrike">
                  <a:solidFill>
                    <a:srgbClr val="000000"/>
                  </a:solidFill>
                  <a:latin typeface="ＭＳ 明朝" pitchFamily="17" charset="-128"/>
                  <a:ea typeface="ＭＳ 明朝" pitchFamily="17" charset="-128"/>
                </a:rPr>
                <a:pPr/>
                <a:t> </a:t>
              </a:fld>
              <a:endParaRPr kumimoji="1" lang="ja-JP" altLang="en-US" sz="1100">
                <a:latin typeface="ＭＳ 明朝" pitchFamily="17" charset="-128"/>
                <a:ea typeface="ＭＳ 明朝" pitchFamily="17" charset="-128"/>
              </a:endParaRPr>
            </a:p>
          </xdr:txBody>
        </xdr:sp>
        <xdr:sp macro="" textlink="基本情報!B11">
          <xdr:nvSpPr>
            <xdr:cNvPr id="374" name="テキスト ボックス 373">
              <a:extLst>
                <a:ext uri="{FF2B5EF4-FFF2-40B4-BE49-F238E27FC236}">
                  <a16:creationId xmlns:a16="http://schemas.microsoft.com/office/drawing/2014/main" id="{00000000-0008-0000-0A00-000076010000}"/>
                </a:ext>
              </a:extLst>
            </xdr:cNvPr>
            <xdr:cNvSpPr txBox="1"/>
          </xdr:nvSpPr>
          <xdr:spPr>
            <a:xfrm>
              <a:off x="6047874" y="2530643"/>
              <a:ext cx="1336508" cy="15512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ctr"/>
              <a:fld id="{60071AA5-1BBE-4D07-84A5-7AA8C4FE8EC1}" type="TxLink">
                <a:rPr kumimoji="1" lang="en-US" altLang="en-US" sz="900" b="0" i="0" u="none" strike="noStrike" spc="0" baseline="0">
                  <a:solidFill>
                    <a:srgbClr val="000000"/>
                  </a:solidFill>
                  <a:latin typeface="ＭＳ Ｐゴシック"/>
                  <a:ea typeface="ＭＳ Ｐゴシック"/>
                </a:rPr>
                <a:pPr algn="ctr"/>
                <a:t> </a:t>
              </a:fld>
              <a:endParaRPr kumimoji="1" lang="en-US" altLang="en-US" sz="900" b="0" i="0" u="none" strike="noStrike" spc="0" baseline="0">
                <a:solidFill>
                  <a:srgbClr val="000000"/>
                </a:solidFill>
                <a:latin typeface="ＭＳ Ｐゴシック"/>
                <a:ea typeface="ＭＳ Ｐゴシック"/>
              </a:endParaRPr>
            </a:p>
          </xdr:txBody>
        </xdr:sp>
        <xdr:sp macro="" textlink="基本情報!B8">
          <xdr:nvSpPr>
            <xdr:cNvPr id="375" name="テキスト ボックス 374">
              <a:extLst>
                <a:ext uri="{FF2B5EF4-FFF2-40B4-BE49-F238E27FC236}">
                  <a16:creationId xmlns:a16="http://schemas.microsoft.com/office/drawing/2014/main" id="{00000000-0008-0000-0A00-000077010000}"/>
                </a:ext>
              </a:extLst>
            </xdr:cNvPr>
            <xdr:cNvSpPr txBox="1"/>
          </xdr:nvSpPr>
          <xdr:spPr>
            <a:xfrm>
              <a:off x="6047874" y="2112545"/>
              <a:ext cx="1336508" cy="34791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ctr"/>
              <a:fld id="{84CA1902-C5AD-48BB-BE6F-4CAF18E286E8}" type="TxLink">
                <a:rPr kumimoji="1" lang="en-US" altLang="en-US" sz="900" b="0" i="0" u="none" strike="noStrike" spc="0" baseline="0">
                  <a:solidFill>
                    <a:srgbClr val="000000"/>
                  </a:solidFill>
                  <a:latin typeface="ＭＳ Ｐゴシック"/>
                  <a:ea typeface="ＭＳ Ｐゴシック"/>
                </a:rPr>
                <a:pPr algn="ctr"/>
                <a:t> </a:t>
              </a:fld>
              <a:endParaRPr kumimoji="1" lang="en-US" altLang="en-US" sz="900" b="0" i="0" u="none" strike="noStrike" spc="0" baseline="0">
                <a:solidFill>
                  <a:srgbClr val="000000"/>
                </a:solidFill>
                <a:latin typeface="ＭＳ Ｐゴシック"/>
                <a:ea typeface="ＭＳ Ｐゴシック"/>
              </a:endParaRPr>
            </a:p>
          </xdr:txBody>
        </xdr:sp>
        <xdr:sp macro="" textlink="">
          <xdr:nvSpPr>
            <xdr:cNvPr id="353" name="テキスト ボックス 352">
              <a:extLst>
                <a:ext uri="{FF2B5EF4-FFF2-40B4-BE49-F238E27FC236}">
                  <a16:creationId xmlns:a16="http://schemas.microsoft.com/office/drawing/2014/main" id="{00000000-0008-0000-0A00-000061010000}"/>
                </a:ext>
              </a:extLst>
            </xdr:cNvPr>
            <xdr:cNvSpPr txBox="1"/>
          </xdr:nvSpPr>
          <xdr:spPr>
            <a:xfrm>
              <a:off x="3874769" y="2701583"/>
              <a:ext cx="533107" cy="190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関係</a:t>
              </a:r>
            </a:p>
          </xdr:txBody>
        </xdr:sp>
        <xdr:pic>
          <xdr:nvPicPr>
            <xdr:cNvPr id="376" name="図 375">
              <a:extLst>
                <a:ext uri="{FF2B5EF4-FFF2-40B4-BE49-F238E27FC236}">
                  <a16:creationId xmlns:a16="http://schemas.microsoft.com/office/drawing/2014/main" id="{00000000-0008-0000-0A00-0000780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47725" y="600075"/>
              <a:ext cx="505114" cy="333375"/>
            </a:xfrm>
            <a:prstGeom prst="rect">
              <a:avLst/>
            </a:prstGeom>
            <a:noFill/>
            <a:extLst>
              <a:ext uri="{909E8E84-426E-40DD-AFC4-6F175D3DCCD1}">
                <a14:hiddenFill xmlns:a14="http://schemas.microsoft.com/office/drawing/2010/main">
                  <a:solidFill>
                    <a:srgbClr val="FFFFFF"/>
                  </a:solidFill>
                </a14:hiddenFill>
              </a:ext>
            </a:extLst>
          </xdr:spPr>
        </xdr:pic>
        <xdr:sp macro="" textlink="基本情報!B15">
          <xdr:nvSpPr>
            <xdr:cNvPr id="383" name="テキスト ボックス 382">
              <a:extLst>
                <a:ext uri="{FF2B5EF4-FFF2-40B4-BE49-F238E27FC236}">
                  <a16:creationId xmlns:a16="http://schemas.microsoft.com/office/drawing/2014/main" id="{00000000-0008-0000-0A00-00007F010000}"/>
                </a:ext>
              </a:extLst>
            </xdr:cNvPr>
            <xdr:cNvSpPr txBox="1"/>
          </xdr:nvSpPr>
          <xdr:spPr>
            <a:xfrm>
              <a:off x="790575" y="3095625"/>
              <a:ext cx="4000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ctr"/>
              <a:fld id="{4C4C79D9-6338-43CA-91C1-C52A37AC01C2}" type="TxLink">
                <a:rPr kumimoji="1" lang="en-US" altLang="en-US" sz="1050" b="0" i="0" u="none" strike="noStrike" spc="0" baseline="0">
                  <a:solidFill>
                    <a:srgbClr val="000000"/>
                  </a:solidFill>
                  <a:latin typeface="OCRB" panose="020B0609020202020204" pitchFamily="49" charset="0"/>
                  <a:ea typeface="ＭＳ Ｐゴシック"/>
                </a:rPr>
                <a:pPr algn="ctr"/>
                <a:t>5</a:t>
              </a:fld>
              <a:endParaRPr kumimoji="1" lang="en-US" altLang="en-US" sz="1050" b="0" i="0" u="none" strike="noStrike" spc="0" baseline="0">
                <a:solidFill>
                  <a:srgbClr val="000000"/>
                </a:solidFill>
                <a:latin typeface="OCRB" panose="020B0609020202020204" pitchFamily="49" charset="0"/>
                <a:ea typeface="ＭＳ Ｐゴシック"/>
              </a:endParaRPr>
            </a:p>
          </xdr:txBody>
        </xdr:sp>
        <xdr:sp macro="" textlink="基本情報!B6">
          <xdr:nvSpPr>
            <xdr:cNvPr id="382" name="テキスト ボックス 381">
              <a:extLst>
                <a:ext uri="{FF2B5EF4-FFF2-40B4-BE49-F238E27FC236}">
                  <a16:creationId xmlns:a16="http://schemas.microsoft.com/office/drawing/2014/main" id="{00000000-0008-0000-0A00-00007E010000}"/>
                </a:ext>
              </a:extLst>
            </xdr:cNvPr>
            <xdr:cNvSpPr txBox="1"/>
          </xdr:nvSpPr>
          <xdr:spPr>
            <a:xfrm>
              <a:off x="6610350" y="1819275"/>
              <a:ext cx="42716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ctr"/>
              <a:fld id="{AE09FD77-B28E-46ED-83C1-7C1E5AC88CC3}" type="TxLink">
                <a:rPr kumimoji="1" lang="en-US" altLang="en-US" sz="900" b="0" i="0" u="none" strike="noStrike" spc="0" baseline="0">
                  <a:solidFill>
                    <a:srgbClr val="000000"/>
                  </a:solidFill>
                  <a:latin typeface="ＭＳ Ｐゴシック"/>
                  <a:ea typeface="ＭＳ Ｐゴシック"/>
                </a:rPr>
                <a:pPr algn="ctr"/>
                <a:t> </a:t>
              </a:fld>
              <a:endParaRPr kumimoji="1" lang="en-US" altLang="en-US" sz="1050" b="0" i="0" u="none" strike="noStrike" spc="0" baseline="0">
                <a:solidFill>
                  <a:srgbClr val="000000"/>
                </a:solidFill>
                <a:latin typeface="OCRB" panose="020B0609020202020204" pitchFamily="49" charset="0"/>
                <a:ea typeface="ＭＳ Ｐゴシック"/>
              </a:endParaRPr>
            </a:p>
          </xdr:txBody>
        </xdr:sp>
        <xdr:pic>
          <xdr:nvPicPr>
            <xdr:cNvPr id="388" name="図 387">
              <a:extLst>
                <a:ext uri="{FF2B5EF4-FFF2-40B4-BE49-F238E27FC236}">
                  <a16:creationId xmlns:a16="http://schemas.microsoft.com/office/drawing/2014/main" id="{00000000-0008-0000-0A00-0000840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505450" y="3228975"/>
              <a:ext cx="1771650" cy="3143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457825" y="3048001"/>
              <a:ext cx="825867" cy="20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1"/>
                <a:t>調査員番号</a:t>
              </a:r>
            </a:p>
          </xdr:txBody>
        </xdr:sp>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371474" y="3486150"/>
              <a:ext cx="2295525" cy="27622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6" name="テキスト ボックス 365">
              <a:extLst>
                <a:ext uri="{FF2B5EF4-FFF2-40B4-BE49-F238E27FC236}">
                  <a16:creationId xmlns:a16="http://schemas.microsoft.com/office/drawing/2014/main" id="{00000000-0008-0000-0A00-00006E010000}"/>
                </a:ext>
              </a:extLst>
            </xdr:cNvPr>
            <xdr:cNvSpPr txBox="1"/>
          </xdr:nvSpPr>
          <xdr:spPr>
            <a:xfrm>
              <a:off x="3162300" y="3048000"/>
              <a:ext cx="828432"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1"/>
                <a:t>事業所番号</a:t>
              </a:r>
            </a:p>
          </xdr:txBody>
        </xdr:sp>
        <xdr:sp macro="" textlink="">
          <xdr:nvSpPr>
            <xdr:cNvPr id="6" name="正方形/長方形 5">
              <a:extLst>
                <a:ext uri="{FF2B5EF4-FFF2-40B4-BE49-F238E27FC236}">
                  <a16:creationId xmlns:a16="http://schemas.microsoft.com/office/drawing/2014/main" id="{00000000-0008-0000-0A00-000006000000}"/>
                </a:ext>
              </a:extLst>
            </xdr:cNvPr>
            <xdr:cNvSpPr/>
          </xdr:nvSpPr>
          <xdr:spPr>
            <a:xfrm>
              <a:off x="2781300" y="3562350"/>
              <a:ext cx="371475" cy="2000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78" name="図 377">
              <a:extLst>
                <a:ext uri="{FF2B5EF4-FFF2-40B4-BE49-F238E27FC236}">
                  <a16:creationId xmlns:a16="http://schemas.microsoft.com/office/drawing/2014/main" id="{00000000-0008-0000-0A00-00007A01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209925" y="3238500"/>
              <a:ext cx="2190750" cy="323850"/>
            </a:xfrm>
            <a:prstGeom prst="rect">
              <a:avLst/>
            </a:prstGeom>
            <a:noFill/>
            <a:extLst>
              <a:ext uri="{909E8E84-426E-40DD-AFC4-6F175D3DCCD1}">
                <a14:hiddenFill xmlns:a14="http://schemas.microsoft.com/office/drawing/2010/main">
                  <a:solidFill>
                    <a:srgbClr val="FFFFFF"/>
                  </a:solidFill>
                </a14:hiddenFill>
              </a:ext>
            </a:extLst>
          </xdr:spPr>
        </xdr:pic>
        <xdr:sp macro="" textlink="計算シート!Q11">
          <xdr:nvSpPr>
            <xdr:cNvPr id="379" name="テキスト ボックス 378">
              <a:extLst>
                <a:ext uri="{FF2B5EF4-FFF2-40B4-BE49-F238E27FC236}">
                  <a16:creationId xmlns:a16="http://schemas.microsoft.com/office/drawing/2014/main" id="{00000000-0008-0000-0A00-00007B010000}"/>
                </a:ext>
              </a:extLst>
            </xdr:cNvPr>
            <xdr:cNvSpPr txBox="1"/>
          </xdr:nvSpPr>
          <xdr:spPr>
            <a:xfrm>
              <a:off x="5600700" y="3268906"/>
              <a:ext cx="581025"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C6E1CCB8-EE39-48FD-968C-A88EED932B2D}" type="TxLink">
                <a:rPr kumimoji="1" lang="en-US" altLang="en-US" sz="1050" b="0" i="0" u="none" strike="noStrike" spc="910" baseline="0">
                  <a:solidFill>
                    <a:srgbClr val="000000"/>
                  </a:solidFill>
                  <a:latin typeface="OCRB" panose="020B0609020202020204" pitchFamily="49" charset="0"/>
                  <a:ea typeface="ＭＳ Ｐゴシック"/>
                </a:rPr>
                <a:pPr/>
                <a:t>000</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計算シート!Q14">
          <xdr:nvSpPr>
            <xdr:cNvPr id="385" name="テキスト ボックス 384">
              <a:extLst>
                <a:ext uri="{FF2B5EF4-FFF2-40B4-BE49-F238E27FC236}">
                  <a16:creationId xmlns:a16="http://schemas.microsoft.com/office/drawing/2014/main" id="{00000000-0008-0000-0A00-000081010000}"/>
                </a:ext>
              </a:extLst>
            </xdr:cNvPr>
            <xdr:cNvSpPr txBox="1"/>
          </xdr:nvSpPr>
          <xdr:spPr>
            <a:xfrm>
              <a:off x="3314702" y="3268906"/>
              <a:ext cx="638174"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253E4F10-4E14-4CF7-AF18-1867907E6EFB}" type="TxLink">
                <a:rPr kumimoji="1" lang="en-US" altLang="en-US" sz="1050" b="0" i="0" u="none" strike="noStrike" spc="910" baseline="0">
                  <a:solidFill>
                    <a:srgbClr val="000000"/>
                  </a:solidFill>
                  <a:latin typeface="OCRB" panose="020B0609020202020204" pitchFamily="49" charset="0"/>
                  <a:ea typeface="ＭＳ Ｐゴシック"/>
                </a:rPr>
                <a:pPr/>
                <a:t>000</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
          <xdr:nvSpPr>
            <xdr:cNvPr id="386" name="テキスト ボックス 385">
              <a:extLst>
                <a:ext uri="{FF2B5EF4-FFF2-40B4-BE49-F238E27FC236}">
                  <a16:creationId xmlns:a16="http://schemas.microsoft.com/office/drawing/2014/main" id="{00000000-0008-0000-0A00-000082010000}"/>
                </a:ext>
              </a:extLst>
            </xdr:cNvPr>
            <xdr:cNvSpPr txBox="1"/>
          </xdr:nvSpPr>
          <xdr:spPr>
            <a:xfrm>
              <a:off x="7048502" y="1812472"/>
              <a:ext cx="352423" cy="231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bIns="0" rtlCol="0" anchor="ctr"/>
            <a:lstStyle/>
            <a:p>
              <a:r>
                <a:rPr kumimoji="1" lang="ja-JP" altLang="en-US" sz="1000" b="1"/>
                <a:t>歳</a:t>
              </a:r>
            </a:p>
          </xdr:txBody>
        </xdr:sp>
        <xdr:cxnSp macro="">
          <xdr:nvCxnSpPr>
            <xdr:cNvPr id="387" name="直線コネクタ 386">
              <a:extLst>
                <a:ext uri="{FF2B5EF4-FFF2-40B4-BE49-F238E27FC236}">
                  <a16:creationId xmlns:a16="http://schemas.microsoft.com/office/drawing/2014/main" id="{00000000-0008-0000-0A00-000083010000}"/>
                </a:ext>
              </a:extLst>
            </xdr:cNvPr>
            <xdr:cNvCxnSpPr/>
          </xdr:nvCxnSpPr>
          <xdr:spPr>
            <a:xfrm>
              <a:off x="583252" y="2068995"/>
              <a:ext cx="0" cy="842451"/>
            </a:xfrm>
            <a:prstGeom prst="line">
              <a:avLst/>
            </a:prstGeom>
            <a:ln w="19050"/>
          </xdr:spPr>
          <xdr:style>
            <a:lnRef idx="1">
              <a:schemeClr val="dk1"/>
            </a:lnRef>
            <a:fillRef idx="0">
              <a:schemeClr val="dk1"/>
            </a:fillRef>
            <a:effectRef idx="0">
              <a:schemeClr val="dk1"/>
            </a:effectRef>
            <a:fontRef idx="minor">
              <a:schemeClr val="tx1"/>
            </a:fontRef>
          </xdr:style>
        </xdr:cxnSp>
        <xdr:sp macro="" textlink="計算シート!H4">
          <xdr:nvSpPr>
            <xdr:cNvPr id="76" name="テキスト ボックス 75">
              <a:extLst>
                <a:ext uri="{FF2B5EF4-FFF2-40B4-BE49-F238E27FC236}">
                  <a16:creationId xmlns:a16="http://schemas.microsoft.com/office/drawing/2014/main" id="{00000000-0008-0000-0A00-00004C000000}"/>
                </a:ext>
              </a:extLst>
            </xdr:cNvPr>
            <xdr:cNvSpPr txBox="1"/>
          </xdr:nvSpPr>
          <xdr:spPr>
            <a:xfrm>
              <a:off x="2109581" y="9168667"/>
              <a:ext cx="263770"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CC08799D-67F5-45B9-8319-51D716938284}" type="TxLink">
                <a:rPr kumimoji="1" lang="en-US" altLang="en-US" sz="1100" b="0" i="0" u="none" strike="noStrike" spc="910" baseline="0">
                  <a:solidFill>
                    <a:srgbClr val="000000"/>
                  </a:solidFill>
                  <a:latin typeface="OCRB" pitchFamily="49" charset="0"/>
                  <a:ea typeface="ＭＳ Ｐゴシック"/>
                </a:rPr>
                <a:pPr algn="r"/>
                <a:t>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C2" fLocksText="0">
          <xdr:nvSpPr>
            <xdr:cNvPr id="77" name="テキスト ボックス 76">
              <a:extLst>
                <a:ext uri="{FF2B5EF4-FFF2-40B4-BE49-F238E27FC236}">
                  <a16:creationId xmlns:a16="http://schemas.microsoft.com/office/drawing/2014/main" id="{00000000-0008-0000-0A00-00004D000000}"/>
                </a:ext>
              </a:extLst>
            </xdr:cNvPr>
            <xdr:cNvSpPr txBox="1"/>
          </xdr:nvSpPr>
          <xdr:spPr>
            <a:xfrm>
              <a:off x="2523392" y="9157188"/>
              <a:ext cx="22463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A1AA656A-4C9E-47C7-AE3A-0FDE7A1241F2}"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C3" fLocksText="0">
          <xdr:nvSpPr>
            <xdr:cNvPr id="78" name="テキスト ボックス 77">
              <a:extLst>
                <a:ext uri="{FF2B5EF4-FFF2-40B4-BE49-F238E27FC236}">
                  <a16:creationId xmlns:a16="http://schemas.microsoft.com/office/drawing/2014/main" id="{00000000-0008-0000-0A00-00004E000000}"/>
                </a:ext>
              </a:extLst>
            </xdr:cNvPr>
            <xdr:cNvSpPr txBox="1"/>
          </xdr:nvSpPr>
          <xdr:spPr>
            <a:xfrm>
              <a:off x="3134750" y="9164514"/>
              <a:ext cx="20939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marL="0" indent="0"/>
              <a:fld id="{72445633-6E12-4BCB-83D2-2D8714286895}" type="TxLink">
                <a:rPr kumimoji="1" lang="ja-JP" altLang="en-US" sz="1100" b="0" i="0" u="none" strike="noStrike">
                  <a:solidFill>
                    <a:srgbClr val="000000"/>
                  </a:solidFill>
                  <a:latin typeface="ＭＳ Ｐゴシック"/>
                  <a:ea typeface="ＭＳ Ｐゴシック"/>
                  <a:cs typeface="+mn-cs"/>
                </a:rPr>
                <a:pPr marL="0" indent="0"/>
                <a:t> </a:t>
              </a:fld>
              <a:endParaRPr kumimoji="1" lang="ja-JP" altLang="en-US" sz="1050" b="0" i="0" u="none" strike="noStrike">
                <a:solidFill>
                  <a:srgbClr val="000000"/>
                </a:solidFill>
                <a:latin typeface="+mn-ea"/>
                <a:ea typeface="+mn-ea"/>
                <a:cs typeface="+mn-cs"/>
              </a:endParaRPr>
            </a:p>
          </xdr:txBody>
        </xdr:sp>
        <xdr:sp macro="" textlink="計算シート!C4">
          <xdr:nvSpPr>
            <xdr:cNvPr id="79" name="テキスト ボックス 78">
              <a:extLst>
                <a:ext uri="{FF2B5EF4-FFF2-40B4-BE49-F238E27FC236}">
                  <a16:creationId xmlns:a16="http://schemas.microsoft.com/office/drawing/2014/main" id="{00000000-0008-0000-0A00-00004F000000}"/>
                </a:ext>
              </a:extLst>
            </xdr:cNvPr>
            <xdr:cNvSpPr txBox="1"/>
          </xdr:nvSpPr>
          <xdr:spPr>
            <a:xfrm>
              <a:off x="3776881" y="9164514"/>
              <a:ext cx="22463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B3560AA8-1F86-46D9-91BC-8F48E9BB532C}"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C5">
          <xdr:nvSpPr>
            <xdr:cNvPr id="80" name="テキスト ボックス 79">
              <a:extLst>
                <a:ext uri="{FF2B5EF4-FFF2-40B4-BE49-F238E27FC236}">
                  <a16:creationId xmlns:a16="http://schemas.microsoft.com/office/drawing/2014/main" id="{00000000-0008-0000-0A00-000050000000}"/>
                </a:ext>
              </a:extLst>
            </xdr:cNvPr>
            <xdr:cNvSpPr txBox="1"/>
          </xdr:nvSpPr>
          <xdr:spPr>
            <a:xfrm>
              <a:off x="4434253" y="9157187"/>
              <a:ext cx="22463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54614F4B-1194-4933-AAE0-63996964185E}"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C6">
          <xdr:nvSpPr>
            <xdr:cNvPr id="81" name="テキスト ボックス 80">
              <a:extLst>
                <a:ext uri="{FF2B5EF4-FFF2-40B4-BE49-F238E27FC236}">
                  <a16:creationId xmlns:a16="http://schemas.microsoft.com/office/drawing/2014/main" id="{00000000-0008-0000-0A00-000051000000}"/>
                </a:ext>
              </a:extLst>
            </xdr:cNvPr>
            <xdr:cNvSpPr txBox="1"/>
          </xdr:nvSpPr>
          <xdr:spPr>
            <a:xfrm>
              <a:off x="5083419" y="9164514"/>
              <a:ext cx="22463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B60E3D98-0655-43B5-BD67-206AE1F86923}"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H5">
          <xdr:nvSpPr>
            <xdr:cNvPr id="82" name="テキスト ボックス 81">
              <a:extLst>
                <a:ext uri="{FF2B5EF4-FFF2-40B4-BE49-F238E27FC236}">
                  <a16:creationId xmlns:a16="http://schemas.microsoft.com/office/drawing/2014/main" id="{00000000-0008-0000-0A00-000052000000}"/>
                </a:ext>
              </a:extLst>
            </xdr:cNvPr>
            <xdr:cNvSpPr txBox="1"/>
          </xdr:nvSpPr>
          <xdr:spPr>
            <a:xfrm>
              <a:off x="2104482" y="9548201"/>
              <a:ext cx="262497" cy="244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pPr algn="r"/>
              <a:fld id="{2F97F563-807F-49AA-BCDB-CAF47C46210A}" type="TxLink">
                <a:rPr kumimoji="1" lang="en-US" altLang="en-US" sz="1100" b="0" i="0" u="none" strike="noStrike" spc="910" baseline="0">
                  <a:solidFill>
                    <a:srgbClr val="000000"/>
                  </a:solidFill>
                  <a:latin typeface="OCRB" pitchFamily="49" charset="0"/>
                  <a:ea typeface="ＭＳ Ｐゴシック"/>
                </a:rPr>
                <a:pPr algn="r"/>
                <a:t>0</a:t>
              </a:fld>
              <a:endParaRPr kumimoji="1" lang="en-US" altLang="en-US" sz="1050" b="0" i="0" u="none" strike="noStrike" spc="910" baseline="0">
                <a:solidFill>
                  <a:srgbClr val="000000"/>
                </a:solidFill>
                <a:latin typeface="OCRB" pitchFamily="49" charset="0"/>
                <a:ea typeface="ＭＳ Ｐゴシック"/>
              </a:endParaRPr>
            </a:p>
          </xdr:txBody>
        </xdr:sp>
        <xdr:sp macro="" textlink="計算シート!C9">
          <xdr:nvSpPr>
            <xdr:cNvPr id="89" name="テキスト ボックス 88">
              <a:extLst>
                <a:ext uri="{FF2B5EF4-FFF2-40B4-BE49-F238E27FC236}">
                  <a16:creationId xmlns:a16="http://schemas.microsoft.com/office/drawing/2014/main" id="{00000000-0008-0000-0A00-000059000000}"/>
                </a:ext>
              </a:extLst>
            </xdr:cNvPr>
            <xdr:cNvSpPr txBox="1"/>
          </xdr:nvSpPr>
          <xdr:spPr>
            <a:xfrm>
              <a:off x="2530719" y="9536722"/>
              <a:ext cx="224633" cy="26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296ECF8-445C-4602-9C1C-F74ED3FF2DCC}"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C10">
          <xdr:nvSpPr>
            <xdr:cNvPr id="90" name="テキスト ボックス 89">
              <a:extLst>
                <a:ext uri="{FF2B5EF4-FFF2-40B4-BE49-F238E27FC236}">
                  <a16:creationId xmlns:a16="http://schemas.microsoft.com/office/drawing/2014/main" id="{00000000-0008-0000-0A00-00005A000000}"/>
                </a:ext>
              </a:extLst>
            </xdr:cNvPr>
            <xdr:cNvSpPr txBox="1"/>
          </xdr:nvSpPr>
          <xdr:spPr>
            <a:xfrm>
              <a:off x="3142077" y="9544048"/>
              <a:ext cx="201773" cy="26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FA341BC6-F320-406C-9938-DD8B93782A4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C11">
          <xdr:nvSpPr>
            <xdr:cNvPr id="91" name="テキスト ボックス 90">
              <a:extLst>
                <a:ext uri="{FF2B5EF4-FFF2-40B4-BE49-F238E27FC236}">
                  <a16:creationId xmlns:a16="http://schemas.microsoft.com/office/drawing/2014/main" id="{00000000-0008-0000-0A00-00005B000000}"/>
                </a:ext>
              </a:extLst>
            </xdr:cNvPr>
            <xdr:cNvSpPr txBox="1"/>
          </xdr:nvSpPr>
          <xdr:spPr>
            <a:xfrm>
              <a:off x="3784208" y="9544048"/>
              <a:ext cx="224633" cy="26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1520A8E-C1B4-4534-85FD-ADD67931ADAA}"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C12">
          <xdr:nvSpPr>
            <xdr:cNvPr id="92" name="テキスト ボックス 91">
              <a:extLst>
                <a:ext uri="{FF2B5EF4-FFF2-40B4-BE49-F238E27FC236}">
                  <a16:creationId xmlns:a16="http://schemas.microsoft.com/office/drawing/2014/main" id="{00000000-0008-0000-0A00-00005C000000}"/>
                </a:ext>
              </a:extLst>
            </xdr:cNvPr>
            <xdr:cNvSpPr txBox="1"/>
          </xdr:nvSpPr>
          <xdr:spPr>
            <a:xfrm>
              <a:off x="4441580" y="9536721"/>
              <a:ext cx="224633" cy="26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99F9129-5E55-4712-875E-F90DFE23EF7E}"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H6" fLocksText="0">
          <xdr:nvSpPr>
            <xdr:cNvPr id="93" name="テキスト ボックス 92">
              <a:extLst>
                <a:ext uri="{FF2B5EF4-FFF2-40B4-BE49-F238E27FC236}">
                  <a16:creationId xmlns:a16="http://schemas.microsoft.com/office/drawing/2014/main" id="{00000000-0008-0000-0A00-00005D000000}"/>
                </a:ext>
              </a:extLst>
            </xdr:cNvPr>
            <xdr:cNvSpPr txBox="1"/>
          </xdr:nvSpPr>
          <xdr:spPr>
            <a:xfrm>
              <a:off x="1334965" y="9916257"/>
              <a:ext cx="221702"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D9CCB761-1BE4-4064-83BA-02812A14D0F4}"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I6" fLocksText="0">
          <xdr:nvSpPr>
            <xdr:cNvPr id="94" name="テキスト ボックス 93">
              <a:extLst>
                <a:ext uri="{FF2B5EF4-FFF2-40B4-BE49-F238E27FC236}">
                  <a16:creationId xmlns:a16="http://schemas.microsoft.com/office/drawing/2014/main" id="{00000000-0008-0000-0A00-00005E000000}"/>
                </a:ext>
              </a:extLst>
            </xdr:cNvPr>
            <xdr:cNvSpPr txBox="1"/>
          </xdr:nvSpPr>
          <xdr:spPr>
            <a:xfrm>
              <a:off x="1940168" y="9916257"/>
              <a:ext cx="22170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AFD9D81-6BB9-442B-9759-5132813D160F}"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J6" fLocksText="0">
          <xdr:nvSpPr>
            <xdr:cNvPr id="95" name="テキスト ボックス 94">
              <a:extLst>
                <a:ext uri="{FF2B5EF4-FFF2-40B4-BE49-F238E27FC236}">
                  <a16:creationId xmlns:a16="http://schemas.microsoft.com/office/drawing/2014/main" id="{00000000-0008-0000-0A00-00005F000000}"/>
                </a:ext>
              </a:extLst>
            </xdr:cNvPr>
            <xdr:cNvSpPr txBox="1"/>
          </xdr:nvSpPr>
          <xdr:spPr>
            <a:xfrm>
              <a:off x="2835519" y="9908930"/>
              <a:ext cx="22463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9883C2B-6529-476A-ACBB-89936C0D173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H8" fLocksText="0">
          <xdr:nvSpPr>
            <xdr:cNvPr id="96" name="テキスト ボックス 95">
              <a:extLst>
                <a:ext uri="{FF2B5EF4-FFF2-40B4-BE49-F238E27FC236}">
                  <a16:creationId xmlns:a16="http://schemas.microsoft.com/office/drawing/2014/main" id="{00000000-0008-0000-0A00-000060000000}"/>
                </a:ext>
              </a:extLst>
            </xdr:cNvPr>
            <xdr:cNvSpPr txBox="1"/>
          </xdr:nvSpPr>
          <xdr:spPr>
            <a:xfrm>
              <a:off x="4602772" y="9916257"/>
              <a:ext cx="22170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7B2BDBD9-F1AA-45BD-AF17-034C6788B09B}"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I8" fLocksText="0">
          <xdr:nvSpPr>
            <xdr:cNvPr id="97" name="テキスト ボックス 96">
              <a:extLst>
                <a:ext uri="{FF2B5EF4-FFF2-40B4-BE49-F238E27FC236}">
                  <a16:creationId xmlns:a16="http://schemas.microsoft.com/office/drawing/2014/main" id="{00000000-0008-0000-0A00-000061000000}"/>
                </a:ext>
              </a:extLst>
            </xdr:cNvPr>
            <xdr:cNvSpPr txBox="1"/>
          </xdr:nvSpPr>
          <xdr:spPr>
            <a:xfrm>
              <a:off x="5177497" y="9916257"/>
              <a:ext cx="224633"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39D6E9CA-5628-40A2-9AA1-CA5D193A57FC}"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J8" fLocksText="0">
          <xdr:nvSpPr>
            <xdr:cNvPr id="98" name="テキスト ボックス 97">
              <a:extLst>
                <a:ext uri="{FF2B5EF4-FFF2-40B4-BE49-F238E27FC236}">
                  <a16:creationId xmlns:a16="http://schemas.microsoft.com/office/drawing/2014/main" id="{00000000-0008-0000-0A00-000062000000}"/>
                </a:ext>
              </a:extLst>
            </xdr:cNvPr>
            <xdr:cNvSpPr txBox="1"/>
          </xdr:nvSpPr>
          <xdr:spPr>
            <a:xfrm>
              <a:off x="6098930" y="9923584"/>
              <a:ext cx="221702"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lstStyle/>
            <a:p>
              <a:fld id="{87734F41-AED7-42B5-AA29-5A1DA3DB1A83}"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K8" fLocksText="0">
          <xdr:nvSpPr>
            <xdr:cNvPr id="99" name="テキスト ボックス 98">
              <a:extLst>
                <a:ext uri="{FF2B5EF4-FFF2-40B4-BE49-F238E27FC236}">
                  <a16:creationId xmlns:a16="http://schemas.microsoft.com/office/drawing/2014/main" id="{00000000-0008-0000-0A00-000063000000}"/>
                </a:ext>
              </a:extLst>
            </xdr:cNvPr>
            <xdr:cNvSpPr txBox="1"/>
          </xdr:nvSpPr>
          <xdr:spPr>
            <a:xfrm>
              <a:off x="6799384" y="9923584"/>
              <a:ext cx="221702" cy="260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699D3BAD-0F27-40F6-AA26-179F91DA715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H7" fLocksText="0">
          <xdr:nvSpPr>
            <xdr:cNvPr id="100" name="テキスト ボックス 99">
              <a:extLst>
                <a:ext uri="{FF2B5EF4-FFF2-40B4-BE49-F238E27FC236}">
                  <a16:creationId xmlns:a16="http://schemas.microsoft.com/office/drawing/2014/main" id="{00000000-0008-0000-0A00-000064000000}"/>
                </a:ext>
              </a:extLst>
            </xdr:cNvPr>
            <xdr:cNvSpPr txBox="1"/>
          </xdr:nvSpPr>
          <xdr:spPr>
            <a:xfrm>
              <a:off x="1342292" y="10298722"/>
              <a:ext cx="221702"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126F58B1-9E32-4ED6-ACC3-C62D1BA45C67}"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I7" fLocksText="0">
          <xdr:nvSpPr>
            <xdr:cNvPr id="101" name="テキスト ボックス 100">
              <a:extLst>
                <a:ext uri="{FF2B5EF4-FFF2-40B4-BE49-F238E27FC236}">
                  <a16:creationId xmlns:a16="http://schemas.microsoft.com/office/drawing/2014/main" id="{00000000-0008-0000-0A00-000065000000}"/>
                </a:ext>
              </a:extLst>
            </xdr:cNvPr>
            <xdr:cNvSpPr txBox="1"/>
          </xdr:nvSpPr>
          <xdr:spPr>
            <a:xfrm>
              <a:off x="1947495" y="10298722"/>
              <a:ext cx="22170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CA69AA2-BF6C-4EE2-AD4F-01809284D0F5}"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J7" fLocksText="0">
          <xdr:nvSpPr>
            <xdr:cNvPr id="102" name="テキスト ボックス 101">
              <a:extLst>
                <a:ext uri="{FF2B5EF4-FFF2-40B4-BE49-F238E27FC236}">
                  <a16:creationId xmlns:a16="http://schemas.microsoft.com/office/drawing/2014/main" id="{00000000-0008-0000-0A00-000066000000}"/>
                </a:ext>
              </a:extLst>
            </xdr:cNvPr>
            <xdr:cNvSpPr txBox="1"/>
          </xdr:nvSpPr>
          <xdr:spPr>
            <a:xfrm>
              <a:off x="2842846" y="10298722"/>
              <a:ext cx="22463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B2E8254C-E8C3-482D-BE13-6268C6131221}"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H9" fLocksText="0">
          <xdr:nvSpPr>
            <xdr:cNvPr id="103" name="テキスト ボックス 102">
              <a:extLst>
                <a:ext uri="{FF2B5EF4-FFF2-40B4-BE49-F238E27FC236}">
                  <a16:creationId xmlns:a16="http://schemas.microsoft.com/office/drawing/2014/main" id="{00000000-0008-0000-0A00-000067000000}"/>
                </a:ext>
              </a:extLst>
            </xdr:cNvPr>
            <xdr:cNvSpPr txBox="1"/>
          </xdr:nvSpPr>
          <xdr:spPr>
            <a:xfrm>
              <a:off x="4610099" y="10298722"/>
              <a:ext cx="22170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85386F0-F289-4EEA-88A8-C5902BC6D09B}" type="TxLink">
                <a:rPr kumimoji="1" lang="ja-JP"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I9" fLocksText="0">
          <xdr:nvSpPr>
            <xdr:cNvPr id="104" name="テキスト ボックス 103">
              <a:extLst>
                <a:ext uri="{FF2B5EF4-FFF2-40B4-BE49-F238E27FC236}">
                  <a16:creationId xmlns:a16="http://schemas.microsoft.com/office/drawing/2014/main" id="{00000000-0008-0000-0A00-000068000000}"/>
                </a:ext>
              </a:extLst>
            </xdr:cNvPr>
            <xdr:cNvSpPr txBox="1"/>
          </xdr:nvSpPr>
          <xdr:spPr>
            <a:xfrm>
              <a:off x="5200064" y="10298722"/>
              <a:ext cx="21701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E95F88CA-7B23-4C92-AD14-5452081E337E}"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計算シート!J9" fLocksText="0">
          <xdr:nvSpPr>
            <xdr:cNvPr id="105" name="テキスト ボックス 104">
              <a:extLst>
                <a:ext uri="{FF2B5EF4-FFF2-40B4-BE49-F238E27FC236}">
                  <a16:creationId xmlns:a16="http://schemas.microsoft.com/office/drawing/2014/main" id="{00000000-0008-0000-0A00-000069000000}"/>
                </a:ext>
              </a:extLst>
            </xdr:cNvPr>
            <xdr:cNvSpPr txBox="1"/>
          </xdr:nvSpPr>
          <xdr:spPr>
            <a:xfrm>
              <a:off x="6106257" y="10306049"/>
              <a:ext cx="221702"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0D258DB6-ABE7-4FE8-BB8F-4B2D05ACAD49}" type="TxLink">
                <a:rPr kumimoji="1" lang="en-US" altLang="en-US" sz="1100" b="0" i="0" u="none" strike="noStrike">
                  <a:solidFill>
                    <a:srgbClr val="000000"/>
                  </a:solidFill>
                  <a:latin typeface="ＭＳ Ｐゴシック"/>
                  <a:ea typeface="ＭＳ Ｐゴシック"/>
                </a:rPr>
                <a:pPr/>
                <a:t> </a:t>
              </a:fld>
              <a:endParaRPr kumimoji="1" lang="ja-JP" altLang="en-US" sz="1050">
                <a:latin typeface="+mn-ea"/>
                <a:ea typeface="+mn-ea"/>
              </a:endParaRPr>
            </a:p>
          </xdr:txBody>
        </xdr:sp>
        <xdr:sp macro="" textlink="">
          <xdr:nvSpPr>
            <xdr:cNvPr id="21" name="正方形/長方形 20">
              <a:extLst>
                <a:ext uri="{FF2B5EF4-FFF2-40B4-BE49-F238E27FC236}">
                  <a16:creationId xmlns:a16="http://schemas.microsoft.com/office/drawing/2014/main" id="{00000000-0008-0000-0A00-000015000000}"/>
                </a:ext>
              </a:extLst>
            </xdr:cNvPr>
            <xdr:cNvSpPr/>
          </xdr:nvSpPr>
          <xdr:spPr>
            <a:xfrm>
              <a:off x="247650" y="7372350"/>
              <a:ext cx="7219950" cy="13049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計算シート!T11">
          <xdr:nvSpPr>
            <xdr:cNvPr id="391" name="テキスト ボックス 390">
              <a:extLst>
                <a:ext uri="{FF2B5EF4-FFF2-40B4-BE49-F238E27FC236}">
                  <a16:creationId xmlns:a16="http://schemas.microsoft.com/office/drawing/2014/main" id="{00000000-0008-0000-0A00-000087010000}"/>
                </a:ext>
              </a:extLst>
            </xdr:cNvPr>
            <xdr:cNvSpPr txBox="1"/>
          </xdr:nvSpPr>
          <xdr:spPr>
            <a:xfrm>
              <a:off x="6248400" y="3268906"/>
              <a:ext cx="581025"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AD6A18C9-1EA1-4138-920E-A52FD2861E9F}" type="TxLink">
                <a:rPr kumimoji="1" lang="en-US" altLang="en-US" sz="1050" b="0" i="0" u="none" strike="noStrike" spc="910" baseline="0">
                  <a:solidFill>
                    <a:srgbClr val="000000"/>
                  </a:solidFill>
                  <a:latin typeface="OCRB" panose="020B0609020202020204" pitchFamily="49" charset="0"/>
                  <a:ea typeface="ＭＳ Ｐゴシック"/>
                </a:rPr>
                <a:pPr/>
                <a:t>000</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計算シート!W11">
          <xdr:nvSpPr>
            <xdr:cNvPr id="393" name="テキスト ボックス 392">
              <a:extLst>
                <a:ext uri="{FF2B5EF4-FFF2-40B4-BE49-F238E27FC236}">
                  <a16:creationId xmlns:a16="http://schemas.microsoft.com/office/drawing/2014/main" id="{00000000-0008-0000-0A00-000089010000}"/>
                </a:ext>
              </a:extLst>
            </xdr:cNvPr>
            <xdr:cNvSpPr txBox="1"/>
          </xdr:nvSpPr>
          <xdr:spPr>
            <a:xfrm>
              <a:off x="6896101" y="3268906"/>
              <a:ext cx="342900"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7EB5834B-D6D0-4D31-ADD6-16B172CEE9CC}" type="TxLink">
                <a:rPr kumimoji="1" lang="en-US" altLang="en-US" sz="1050" b="0" i="0" u="none" strike="noStrike" spc="910" baseline="0">
                  <a:solidFill>
                    <a:srgbClr val="000000"/>
                  </a:solidFill>
                  <a:latin typeface="OCRB" panose="020B0609020202020204" pitchFamily="49" charset="0"/>
                  <a:ea typeface="ＭＳ Ｐゴシック"/>
                </a:rPr>
                <a:pPr/>
                <a:t>00</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計算シート!T14">
          <xdr:nvSpPr>
            <xdr:cNvPr id="394" name="テキスト ボックス 393">
              <a:extLst>
                <a:ext uri="{FF2B5EF4-FFF2-40B4-BE49-F238E27FC236}">
                  <a16:creationId xmlns:a16="http://schemas.microsoft.com/office/drawing/2014/main" id="{00000000-0008-0000-0A00-00008A010000}"/>
                </a:ext>
              </a:extLst>
            </xdr:cNvPr>
            <xdr:cNvSpPr txBox="1"/>
          </xdr:nvSpPr>
          <xdr:spPr>
            <a:xfrm>
              <a:off x="3962402" y="3268906"/>
              <a:ext cx="638174"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4AD354E8-FBB1-40E8-BF3C-EB08A9B8962F}" type="TxLink">
                <a:rPr kumimoji="1" lang="en-US" altLang="en-US" sz="1050" b="0" i="0" u="none" strike="noStrike" spc="910" baseline="0">
                  <a:solidFill>
                    <a:srgbClr val="000000"/>
                  </a:solidFill>
                  <a:latin typeface="OCRB" panose="020B0609020202020204" pitchFamily="49" charset="0"/>
                  <a:ea typeface="ＭＳ Ｐゴシック"/>
                </a:rPr>
                <a:pPr/>
                <a:t>000</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計算シート!W14">
          <xdr:nvSpPr>
            <xdr:cNvPr id="395" name="テキスト ボックス 394">
              <a:extLst>
                <a:ext uri="{FF2B5EF4-FFF2-40B4-BE49-F238E27FC236}">
                  <a16:creationId xmlns:a16="http://schemas.microsoft.com/office/drawing/2014/main" id="{00000000-0008-0000-0A00-00008B010000}"/>
                </a:ext>
              </a:extLst>
            </xdr:cNvPr>
            <xdr:cNvSpPr txBox="1"/>
          </xdr:nvSpPr>
          <xdr:spPr>
            <a:xfrm>
              <a:off x="4600577" y="3268906"/>
              <a:ext cx="790573" cy="24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spcCol="0" rtlCol="0" anchor="ctr" anchorCtr="0"/>
            <a:lstStyle/>
            <a:p>
              <a:fld id="{E37CC17D-D043-477F-9327-45C09DF199D7}" type="TxLink">
                <a:rPr kumimoji="1" lang="en-US" altLang="en-US" sz="1050" b="0" i="0" u="none" strike="noStrike" spc="910" baseline="0">
                  <a:solidFill>
                    <a:srgbClr val="000000"/>
                  </a:solidFill>
                  <a:latin typeface="OCRB" panose="020B0609020202020204" pitchFamily="49" charset="0"/>
                  <a:ea typeface="ＭＳ Ｐゴシック"/>
                </a:rPr>
                <a:pPr/>
                <a:t>0000</a:t>
              </a:fld>
              <a:endParaRPr kumimoji="1" lang="en-US" altLang="en-US" sz="1050" b="0" i="0" u="none" strike="noStrike" spc="910" baseline="0">
                <a:solidFill>
                  <a:srgbClr val="000000"/>
                </a:solidFill>
                <a:latin typeface="OCRB" panose="020B0609020202020204" pitchFamily="49" charset="0"/>
                <a:ea typeface="ＭＳ Ｐゴシック"/>
              </a:endParaRPr>
            </a:p>
          </xdr:txBody>
        </xdr:sp>
        <xdr:sp macro="" textlink="">
          <xdr:nvSpPr>
            <xdr:cNvPr id="384" name="正方形/長方形 383">
              <a:extLst>
                <a:ext uri="{FF2B5EF4-FFF2-40B4-BE49-F238E27FC236}">
                  <a16:creationId xmlns:a16="http://schemas.microsoft.com/office/drawing/2014/main" id="{00000000-0008-0000-0A00-000080010000}"/>
                </a:ext>
              </a:extLst>
            </xdr:cNvPr>
            <xdr:cNvSpPr/>
          </xdr:nvSpPr>
          <xdr:spPr>
            <a:xfrm>
              <a:off x="2228850" y="3581400"/>
              <a:ext cx="742950" cy="1809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正方形/長方形 69">
              <a:extLst>
                <a:ext uri="{FF2B5EF4-FFF2-40B4-BE49-F238E27FC236}">
                  <a16:creationId xmlns:a16="http://schemas.microsoft.com/office/drawing/2014/main" id="{00000000-0008-0000-0A00-000046000000}"/>
                </a:ext>
              </a:extLst>
            </xdr:cNvPr>
            <xdr:cNvSpPr/>
          </xdr:nvSpPr>
          <xdr:spPr>
            <a:xfrm>
              <a:off x="514350" y="3724274"/>
              <a:ext cx="4229100" cy="666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96" name="直線コネクタ 395">
              <a:extLst>
                <a:ext uri="{FF2B5EF4-FFF2-40B4-BE49-F238E27FC236}">
                  <a16:creationId xmlns:a16="http://schemas.microsoft.com/office/drawing/2014/main" id="{00000000-0008-0000-0A00-00008C010000}"/>
                </a:ext>
              </a:extLst>
            </xdr:cNvPr>
            <xdr:cNvCxnSpPr/>
          </xdr:nvCxnSpPr>
          <xdr:spPr>
            <a:xfrm flipV="1">
              <a:off x="485775" y="3762381"/>
              <a:ext cx="3962400" cy="1"/>
            </a:xfrm>
            <a:prstGeom prst="line">
              <a:avLst/>
            </a:prstGeom>
            <a:ln w="9525"/>
          </xdr:spPr>
          <xdr:style>
            <a:lnRef idx="1">
              <a:schemeClr val="dk1"/>
            </a:lnRef>
            <a:fillRef idx="0">
              <a:schemeClr val="dk1"/>
            </a:fillRef>
            <a:effectRef idx="0">
              <a:schemeClr val="dk1"/>
            </a:effectRef>
            <a:fontRef idx="minor">
              <a:schemeClr val="tx1"/>
            </a:fontRef>
          </xdr:style>
        </xdr:cxnSp>
        <xdr:sp macro="" textlink="">
          <xdr:nvSpPr>
            <xdr:cNvPr id="84" name="正方形/長方形 83">
              <a:extLst>
                <a:ext uri="{FF2B5EF4-FFF2-40B4-BE49-F238E27FC236}">
                  <a16:creationId xmlns:a16="http://schemas.microsoft.com/office/drawing/2014/main" id="{00000000-0008-0000-0A00-000054000000}"/>
                </a:ext>
              </a:extLst>
            </xdr:cNvPr>
            <xdr:cNvSpPr/>
          </xdr:nvSpPr>
          <xdr:spPr>
            <a:xfrm>
              <a:off x="4733925" y="3562350"/>
              <a:ext cx="2590800" cy="2000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92" name="直線コネクタ 391">
              <a:extLst>
                <a:ext uri="{FF2B5EF4-FFF2-40B4-BE49-F238E27FC236}">
                  <a16:creationId xmlns:a16="http://schemas.microsoft.com/office/drawing/2014/main" id="{00000000-0008-0000-0A00-000088010000}"/>
                </a:ext>
              </a:extLst>
            </xdr:cNvPr>
            <xdr:cNvCxnSpPr/>
          </xdr:nvCxnSpPr>
          <xdr:spPr>
            <a:xfrm>
              <a:off x="4772025" y="3762375"/>
              <a:ext cx="2581275" cy="0"/>
            </a:xfrm>
            <a:prstGeom prst="line">
              <a:avLst/>
            </a:prstGeom>
            <a:ln w="9525"/>
          </xdr:spPr>
          <xdr:style>
            <a:lnRef idx="1">
              <a:schemeClr val="dk1"/>
            </a:lnRef>
            <a:fillRef idx="0">
              <a:schemeClr val="dk1"/>
            </a:fillRef>
            <a:effectRef idx="0">
              <a:schemeClr val="dk1"/>
            </a:effectRef>
            <a:fontRef idx="minor">
              <a:schemeClr val="tx1"/>
            </a:fontRef>
          </xdr:style>
        </xdr:cxnSp>
        <xdr:sp macro="" textlink="">
          <xdr:nvSpPr>
            <xdr:cNvPr id="389" name="テキスト ボックス 388">
              <a:extLst>
                <a:ext uri="{FF2B5EF4-FFF2-40B4-BE49-F238E27FC236}">
                  <a16:creationId xmlns:a16="http://schemas.microsoft.com/office/drawing/2014/main" id="{00000000-0008-0000-0A00-000085010000}"/>
                </a:ext>
              </a:extLst>
            </xdr:cNvPr>
            <xdr:cNvSpPr txBox="1"/>
          </xdr:nvSpPr>
          <xdr:spPr>
            <a:xfrm>
              <a:off x="400050" y="3562625"/>
              <a:ext cx="733425" cy="18069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bIns="0" rtlCol="0" anchor="b"/>
            <a:lstStyle/>
            <a:p>
              <a:pPr algn="l"/>
              <a:r>
                <a:rPr kumimoji="1" lang="ja-JP" altLang="en-US" sz="900" b="1"/>
                <a:t>所属機関</a:t>
              </a:r>
            </a:p>
          </xdr:txBody>
        </xdr:sp>
        <xdr:sp macro="" textlink="基本情報!B19">
          <xdr:nvSpPr>
            <xdr:cNvPr id="34" name="テキスト ボックス 33">
              <a:extLst>
                <a:ext uri="{FF2B5EF4-FFF2-40B4-BE49-F238E27FC236}">
                  <a16:creationId xmlns:a16="http://schemas.microsoft.com/office/drawing/2014/main" id="{00000000-0008-0000-0A00-000022000000}"/>
                </a:ext>
              </a:extLst>
            </xdr:cNvPr>
            <xdr:cNvSpPr txBox="1"/>
          </xdr:nvSpPr>
          <xdr:spPr>
            <a:xfrm>
              <a:off x="1181100" y="3533775"/>
              <a:ext cx="3362326" cy="2095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fld id="{4CAD4270-0D1D-4216-A9C2-51633EF868B7}" type="TxLink">
                <a:rPr kumimoji="1" lang="ja-JP" altLang="en-US" sz="900" b="0" i="0" u="none" strike="noStrike">
                  <a:solidFill>
                    <a:srgbClr val="000000"/>
                  </a:solidFill>
                  <a:latin typeface="ＭＳ Ｐゴシック"/>
                  <a:ea typeface="ＭＳ Ｐゴシック"/>
                </a:rPr>
                <a:pPr/>
                <a:t> </a:t>
              </a:fld>
              <a:endParaRPr kumimoji="1" lang="ja-JP" altLang="en-US" sz="900"/>
            </a:p>
          </xdr:txBody>
        </xdr:sp>
        <xdr:sp macro="" textlink="">
          <xdr:nvSpPr>
            <xdr:cNvPr id="367" name="テキスト ボックス 366">
              <a:extLst>
                <a:ext uri="{FF2B5EF4-FFF2-40B4-BE49-F238E27FC236}">
                  <a16:creationId xmlns:a16="http://schemas.microsoft.com/office/drawing/2014/main" id="{00000000-0008-0000-0A00-00006F010000}"/>
                </a:ext>
              </a:extLst>
            </xdr:cNvPr>
            <xdr:cNvSpPr txBox="1"/>
          </xdr:nvSpPr>
          <xdr:spPr>
            <a:xfrm>
              <a:off x="4724401" y="3520168"/>
              <a:ext cx="478971" cy="23132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bIns="0" rtlCol="0" anchor="b"/>
            <a:lstStyle/>
            <a:p>
              <a:r>
                <a:rPr kumimoji="1" lang="ja-JP" altLang="en-US" sz="900" b="1"/>
                <a:t>名前</a:t>
              </a:r>
            </a:p>
          </xdr:txBody>
        </xdr:sp>
        <xdr:sp macro="" textlink="基本情報!B17">
          <xdr:nvSpPr>
            <xdr:cNvPr id="33" name="テキスト ボックス 32">
              <a:extLst>
                <a:ext uri="{FF2B5EF4-FFF2-40B4-BE49-F238E27FC236}">
                  <a16:creationId xmlns:a16="http://schemas.microsoft.com/office/drawing/2014/main" id="{00000000-0008-0000-0A00-000021000000}"/>
                </a:ext>
              </a:extLst>
            </xdr:cNvPr>
            <xdr:cNvSpPr txBox="1"/>
          </xdr:nvSpPr>
          <xdr:spPr>
            <a:xfrm>
              <a:off x="5257800" y="3581400"/>
              <a:ext cx="2047874" cy="1619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l"/>
              <a:fld id="{81573DB4-F602-43B2-B745-D195480B463D}" type="TxLink">
                <a:rPr kumimoji="1" lang="ja-JP" altLang="en-US" sz="900" b="0" i="0" u="none" strike="noStrike">
                  <a:solidFill>
                    <a:srgbClr val="000000"/>
                  </a:solidFill>
                  <a:latin typeface="ＭＳ Ｐゴシック"/>
                  <a:ea typeface="ＭＳ Ｐゴシック"/>
                </a:rPr>
                <a:pPr algn="l"/>
                <a:t> </a:t>
              </a:fld>
              <a:endParaRPr kumimoji="1" lang="ja-JP" altLang="en-US" sz="900"/>
            </a:p>
          </xdr:txBody>
        </xdr:sp>
        <xdr:sp macro="" textlink="">
          <xdr:nvSpPr>
            <xdr:cNvPr id="32" name="正方形/長方形 31">
              <a:extLst>
                <a:ext uri="{FF2B5EF4-FFF2-40B4-BE49-F238E27FC236}">
                  <a16:creationId xmlns:a16="http://schemas.microsoft.com/office/drawing/2014/main" id="{00000000-0008-0000-0A00-000020000000}"/>
                </a:ext>
              </a:extLst>
            </xdr:cNvPr>
            <xdr:cNvSpPr/>
          </xdr:nvSpPr>
          <xdr:spPr>
            <a:xfrm>
              <a:off x="352425" y="3114675"/>
              <a:ext cx="2676526" cy="360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7" name="正方形/長方形 396">
              <a:extLst>
                <a:ext uri="{FF2B5EF4-FFF2-40B4-BE49-F238E27FC236}">
                  <a16:creationId xmlns:a16="http://schemas.microsoft.com/office/drawing/2014/main" id="{00000000-0008-0000-0A00-00008D010000}"/>
                </a:ext>
              </a:extLst>
            </xdr:cNvPr>
            <xdr:cNvSpPr/>
          </xdr:nvSpPr>
          <xdr:spPr>
            <a:xfrm>
              <a:off x="2095500" y="2505074"/>
              <a:ext cx="1419225" cy="360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98" name="図 397">
              <a:extLst>
                <a:ext uri="{FF2B5EF4-FFF2-40B4-BE49-F238E27FC236}">
                  <a16:creationId xmlns:a16="http://schemas.microsoft.com/office/drawing/2014/main" id="{00000000-0008-0000-0A00-00008E0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28682" y="600080"/>
              <a:ext cx="526667" cy="33104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1" name="図 400">
              <a:extLst>
                <a:ext uri="{FF2B5EF4-FFF2-40B4-BE49-F238E27FC236}">
                  <a16:creationId xmlns:a16="http://schemas.microsoft.com/office/drawing/2014/main" id="{00000000-0008-0000-0A00-000091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829175" y="3971925"/>
              <a:ext cx="2628900" cy="476250"/>
            </a:xfrm>
            <a:prstGeom prst="rect">
              <a:avLst/>
            </a:prstGeom>
            <a:noFill/>
            <a:extLst>
              <a:ext uri="{909E8E84-426E-40DD-AFC4-6F175D3DCCD1}">
                <a14:hiddenFill xmlns:a14="http://schemas.microsoft.com/office/drawing/2010/main">
                  <a:solidFill>
                    <a:srgbClr val="FFFFFF"/>
                  </a:solidFill>
                </a14:hiddenFill>
              </a:ext>
            </a:extLst>
          </xdr:spPr>
        </xdr:pic>
        <xdr:sp macro="" textlink="計算シート!Q18">
          <xdr:nvSpPr>
            <xdr:cNvPr id="45" name="テキスト ボックス 44">
              <a:extLst>
                <a:ext uri="{FF2B5EF4-FFF2-40B4-BE49-F238E27FC236}">
                  <a16:creationId xmlns:a16="http://schemas.microsoft.com/office/drawing/2014/main" id="{00000000-0008-0000-0A00-00002D000000}"/>
                </a:ext>
              </a:extLst>
            </xdr:cNvPr>
            <xdr:cNvSpPr txBox="1"/>
          </xdr:nvSpPr>
          <xdr:spPr>
            <a:xfrm>
              <a:off x="5719982" y="4063511"/>
              <a:ext cx="214094" cy="270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8EB14E43-FD96-49A9-AEA4-CC9A469EEF0C}" type="TxLink">
                <a:rPr kumimoji="1" lang="en-US" altLang="en-US" sz="1050" b="0" i="0" u="none" strike="noStrike">
                  <a:solidFill>
                    <a:srgbClr val="000000"/>
                  </a:solidFill>
                  <a:latin typeface="OCRB" panose="020B0609020202020204" pitchFamily="49" charset="0"/>
                  <a:ea typeface="ＭＳ Ｐゴシック"/>
                </a:rPr>
                <a:pPr/>
                <a:t> </a:t>
              </a:fld>
              <a:endParaRPr kumimoji="1" lang="ja-JP" altLang="en-US" sz="1050">
                <a:latin typeface="OCRB" panose="020B0609020202020204" pitchFamily="49" charset="0"/>
                <a:ea typeface="+mn-ea"/>
              </a:endParaRPr>
            </a:p>
          </xdr:txBody>
        </xdr:sp>
        <xdr:pic>
          <xdr:nvPicPr>
            <xdr:cNvPr id="390" name="図 389">
              <a:extLst>
                <a:ext uri="{FF2B5EF4-FFF2-40B4-BE49-F238E27FC236}">
                  <a16:creationId xmlns:a16="http://schemas.microsoft.com/office/drawing/2014/main" id="{00000000-0008-0000-0A00-000086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00050" y="4457700"/>
              <a:ext cx="6936883" cy="381244"/>
            </a:xfrm>
            <a:prstGeom prst="rect">
              <a:avLst/>
            </a:prstGeom>
            <a:noFill/>
            <a:extLst>
              <a:ext uri="{909E8E84-426E-40DD-AFC4-6F175D3DCCD1}">
                <a14:hiddenFill xmlns:a14="http://schemas.microsoft.com/office/drawing/2010/main">
                  <a:solidFill>
                    <a:srgbClr val="FFFFFF"/>
                  </a:solidFill>
                </a14:hiddenFill>
              </a:ext>
            </a:extLst>
          </xdr:spPr>
        </xdr:pic>
        <xdr:sp macro="" textlink="計算シート!U17">
          <xdr:nvSpPr>
            <xdr:cNvPr id="406" name="テキスト ボックス 405">
              <a:extLst>
                <a:ext uri="{FF2B5EF4-FFF2-40B4-BE49-F238E27FC236}">
                  <a16:creationId xmlns:a16="http://schemas.microsoft.com/office/drawing/2014/main" id="{00000000-0008-0000-0A00-000096010000}"/>
                </a:ext>
              </a:extLst>
            </xdr:cNvPr>
            <xdr:cNvSpPr txBox="1"/>
          </xdr:nvSpPr>
          <xdr:spPr>
            <a:xfrm>
              <a:off x="1055169" y="4503492"/>
              <a:ext cx="18653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CCE7B315-A57D-4DB1-B9D2-03607FE79BEC}" type="TxLink">
                <a:rPr kumimoji="1" lang="en-US" altLang="en-US" sz="1050" b="0" i="0" u="none" strike="noStrike">
                  <a:solidFill>
                    <a:srgbClr val="000000"/>
                  </a:solidFill>
                  <a:latin typeface="OCRB" panose="020B0609020202020204" pitchFamily="49" charset="0"/>
                  <a:ea typeface="ＭＳ Ｐゴシック"/>
                </a:rPr>
                <a:pPr/>
                <a:t> </a:t>
              </a:fld>
              <a:endParaRPr kumimoji="1" lang="ja-JP" altLang="en-US" sz="1050">
                <a:latin typeface="OCRB" panose="020B0609020202020204" pitchFamily="49" charset="0"/>
                <a:ea typeface="+mn-ea"/>
              </a:endParaRPr>
            </a:p>
          </xdr:txBody>
        </xdr:sp>
        <xdr:sp macro="" textlink="計算シート!V17">
          <xdr:nvSpPr>
            <xdr:cNvPr id="407" name="テキスト ボックス 406">
              <a:extLst>
                <a:ext uri="{FF2B5EF4-FFF2-40B4-BE49-F238E27FC236}">
                  <a16:creationId xmlns:a16="http://schemas.microsoft.com/office/drawing/2014/main" id="{00000000-0008-0000-0A00-000097010000}"/>
                </a:ext>
              </a:extLst>
            </xdr:cNvPr>
            <xdr:cNvSpPr txBox="1"/>
          </xdr:nvSpPr>
          <xdr:spPr>
            <a:xfrm>
              <a:off x="1283769" y="4503492"/>
              <a:ext cx="18653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fld id="{6D749584-97E8-4A14-B345-4778A134596E}" type="TxLink">
                <a:rPr kumimoji="1" lang="en-US" altLang="en-US" sz="1100" b="0" i="0" u="none" strike="noStrike">
                  <a:solidFill>
                    <a:srgbClr val="000000"/>
                  </a:solidFill>
                  <a:latin typeface="OCRB" panose="020B0609020202020204" pitchFamily="49" charset="0"/>
                  <a:ea typeface="ＭＳ Ｐゴシック"/>
                </a:rPr>
                <a:pPr/>
                <a:t> </a:t>
              </a:fld>
              <a:endParaRPr kumimoji="1" lang="ja-JP" altLang="en-US" sz="1050">
                <a:latin typeface="OCRB" panose="020B0609020202020204" pitchFamily="49" charset="0"/>
                <a:ea typeface="+mn-ea"/>
              </a:endParaRPr>
            </a:p>
          </xdr:txBody>
        </xdr:sp>
      </xdr:grpSp>
      <xdr:sp macro="" textlink="">
        <xdr:nvSpPr>
          <xdr:cNvPr id="43" name="正方形/長方形 42">
            <a:extLst>
              <a:ext uri="{FF2B5EF4-FFF2-40B4-BE49-F238E27FC236}">
                <a16:creationId xmlns:a16="http://schemas.microsoft.com/office/drawing/2014/main" id="{00000000-0008-0000-0A00-00002B000000}"/>
              </a:ext>
            </a:extLst>
          </xdr:cNvPr>
          <xdr:cNvSpPr/>
        </xdr:nvSpPr>
        <xdr:spPr>
          <a:xfrm>
            <a:off x="1685925" y="4476750"/>
            <a:ext cx="5695950" cy="3429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4" name="図 43">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15"/>
          <a:stretch>
            <a:fillRect/>
          </a:stretch>
        </xdr:blipFill>
        <xdr:spPr>
          <a:xfrm>
            <a:off x="1695460" y="4467233"/>
            <a:ext cx="5724515" cy="37209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52</xdr:row>
      <xdr:rowOff>95250</xdr:rowOff>
    </xdr:from>
    <xdr:to>
      <xdr:col>10</xdr:col>
      <xdr:colOff>62865</xdr:colOff>
      <xdr:row>88</xdr:row>
      <xdr:rowOff>114300</xdr:rowOff>
    </xdr:to>
    <xdr:pic>
      <xdr:nvPicPr>
        <xdr:cNvPr id="2" name="Picture 6">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r="50562" b="19777"/>
        <a:stretch>
          <a:fillRect/>
        </a:stretch>
      </xdr:blipFill>
      <xdr:spPr bwMode="auto">
        <a:xfrm>
          <a:off x="0" y="9667875"/>
          <a:ext cx="7534275" cy="6877050"/>
        </a:xfrm>
        <a:prstGeom prst="rect">
          <a:avLst/>
        </a:prstGeom>
        <a:noFill/>
      </xdr:spPr>
    </xdr:pic>
    <xdr:clientData/>
  </xdr:twoCellAnchor>
  <xdr:twoCellAnchor editAs="oneCell">
    <xdr:from>
      <xdr:col>11</xdr:col>
      <xdr:colOff>0</xdr:colOff>
      <xdr:row>52</xdr:row>
      <xdr:rowOff>95250</xdr:rowOff>
    </xdr:from>
    <xdr:to>
      <xdr:col>27</xdr:col>
      <xdr:colOff>552450</xdr:colOff>
      <xdr:row>88</xdr:row>
      <xdr:rowOff>123825</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cstate="print"/>
        <a:srcRect r="24375" b="19666"/>
        <a:stretch>
          <a:fillRect/>
        </a:stretch>
      </xdr:blipFill>
      <xdr:spPr bwMode="auto">
        <a:xfrm>
          <a:off x="7867650" y="9667875"/>
          <a:ext cx="11525250" cy="6886575"/>
        </a:xfrm>
        <a:prstGeom prst="rect">
          <a:avLst/>
        </a:prstGeom>
        <a:noFill/>
      </xdr:spPr>
    </xdr:pic>
    <xdr:clientData/>
  </xdr:twoCellAnchor>
  <xdr:twoCellAnchor editAs="oneCell">
    <xdr:from>
      <xdr:col>28</xdr:col>
      <xdr:colOff>0</xdr:colOff>
      <xdr:row>52</xdr:row>
      <xdr:rowOff>95250</xdr:rowOff>
    </xdr:from>
    <xdr:to>
      <xdr:col>44</xdr:col>
      <xdr:colOff>609600</xdr:colOff>
      <xdr:row>88</xdr:row>
      <xdr:rowOff>123825</xdr:rowOff>
    </xdr:to>
    <xdr:pic>
      <xdr:nvPicPr>
        <xdr:cNvPr id="4" name="Picture 2">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cstate="print"/>
        <a:srcRect r="24000" b="19666"/>
        <a:stretch>
          <a:fillRect/>
        </a:stretch>
      </xdr:blipFill>
      <xdr:spPr bwMode="auto">
        <a:xfrm>
          <a:off x="19526250" y="9667875"/>
          <a:ext cx="11582400" cy="6886575"/>
        </a:xfrm>
        <a:prstGeom prst="rect">
          <a:avLst/>
        </a:prstGeom>
        <a:noFill/>
      </xdr:spPr>
    </xdr:pic>
    <xdr:clientData/>
  </xdr:twoCellAnchor>
  <xdr:twoCellAnchor>
    <xdr:from>
      <xdr:col>1</xdr:col>
      <xdr:colOff>47624</xdr:colOff>
      <xdr:row>59</xdr:row>
      <xdr:rowOff>152400</xdr:rowOff>
    </xdr:from>
    <xdr:to>
      <xdr:col>8</xdr:col>
      <xdr:colOff>464819</xdr:colOff>
      <xdr:row>62</xdr:row>
      <xdr:rowOff>28575</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893444" y="11064240"/>
          <a:ext cx="50958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1">
              <a:solidFill>
                <a:srgbClr val="FF0000"/>
              </a:solidFill>
            </a:rPr>
            <a:t>①矢印の位置で右クリックをし，コピーを選択してください。</a:t>
          </a:r>
        </a:p>
      </xdr:txBody>
    </xdr:sp>
    <xdr:clientData/>
  </xdr:twoCellAnchor>
  <xdr:twoCellAnchor>
    <xdr:from>
      <xdr:col>0</xdr:col>
      <xdr:colOff>161925</xdr:colOff>
      <xdr:row>60</xdr:row>
      <xdr:rowOff>171450</xdr:rowOff>
    </xdr:from>
    <xdr:to>
      <xdr:col>0</xdr:col>
      <xdr:colOff>581025</xdr:colOff>
      <xdr:row>63</xdr:row>
      <xdr:rowOff>114300</xdr:rowOff>
    </xdr:to>
    <xdr:sp macro="" textlink="">
      <xdr:nvSpPr>
        <xdr:cNvPr id="6" name="下矢印 5">
          <a:extLst>
            <a:ext uri="{FF2B5EF4-FFF2-40B4-BE49-F238E27FC236}">
              <a16:creationId xmlns:a16="http://schemas.microsoft.com/office/drawing/2014/main" id="{00000000-0008-0000-0C00-000006000000}"/>
            </a:ext>
          </a:extLst>
        </xdr:cNvPr>
        <xdr:cNvSpPr/>
      </xdr:nvSpPr>
      <xdr:spPr>
        <a:xfrm rot="7860000">
          <a:off x="114300" y="11315700"/>
          <a:ext cx="514350" cy="41910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95249</xdr:colOff>
      <xdr:row>59</xdr:row>
      <xdr:rowOff>152400</xdr:rowOff>
    </xdr:from>
    <xdr:to>
      <xdr:col>24</xdr:col>
      <xdr:colOff>95250</xdr:colOff>
      <xdr:row>62</xdr:row>
      <xdr:rowOff>28575</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10706099" y="11058525"/>
          <a:ext cx="6172201"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1">
              <a:solidFill>
                <a:srgbClr val="FF0000"/>
              </a:solidFill>
            </a:rPr>
            <a:t>②</a:t>
          </a:r>
          <a:r>
            <a:rPr kumimoji="1" lang="en-US" altLang="ja-JP" sz="1600" b="1">
              <a:solidFill>
                <a:srgbClr val="FF0000"/>
              </a:solidFill>
            </a:rPr>
            <a:t>Word</a:t>
          </a:r>
          <a:r>
            <a:rPr kumimoji="1" lang="ja-JP" altLang="en-US" sz="1600" b="1">
              <a:solidFill>
                <a:srgbClr val="FF0000"/>
              </a:solidFill>
            </a:rPr>
            <a:t>を開いて，右クリックをし，貼り付けを選択してください。</a:t>
          </a:r>
        </a:p>
      </xdr:txBody>
    </xdr:sp>
    <xdr:clientData/>
  </xdr:twoCellAnchor>
  <xdr:twoCellAnchor>
    <xdr:from>
      <xdr:col>30</xdr:col>
      <xdr:colOff>619125</xdr:colOff>
      <xdr:row>59</xdr:row>
      <xdr:rowOff>152400</xdr:rowOff>
    </xdr:from>
    <xdr:to>
      <xdr:col>44</xdr:col>
      <xdr:colOff>247650</xdr:colOff>
      <xdr:row>62</xdr:row>
      <xdr:rowOff>28575</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21516975" y="11058525"/>
          <a:ext cx="922972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1">
              <a:solidFill>
                <a:srgbClr val="FF0000"/>
              </a:solidFill>
            </a:rPr>
            <a:t>③「</a:t>
          </a:r>
          <a:r>
            <a:rPr kumimoji="1" lang="en-US" altLang="ja-JP" sz="1600" b="1">
              <a:solidFill>
                <a:srgbClr val="FF0000"/>
              </a:solidFill>
            </a:rPr>
            <a:t>F7</a:t>
          </a:r>
          <a:r>
            <a:rPr kumimoji="1" lang="ja-JP" altLang="en-US" sz="1600" b="1">
              <a:solidFill>
                <a:srgbClr val="FF0000"/>
              </a:solidFill>
            </a:rPr>
            <a:t>」ボタンを押して文章校正をかけ，必要に応じて黄色シートの該当箇所を訂正してください。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66"/>
    <pageSetUpPr fitToPage="1"/>
  </sheetPr>
  <dimension ref="A1:AC53"/>
  <sheetViews>
    <sheetView showGridLines="0" tabSelected="1" defaultGridColor="0" colorId="48" zoomScaleNormal="100" workbookViewId="0">
      <selection activeCell="W3" sqref="W3:AB10"/>
    </sheetView>
  </sheetViews>
  <sheetFormatPr defaultColWidth="9" defaultRowHeight="17.25" x14ac:dyDescent="0.15"/>
  <cols>
    <col min="1" max="1" width="29" style="138" customWidth="1"/>
    <col min="2" max="2" width="14.625" style="138" bestFit="1" customWidth="1"/>
    <col min="3" max="9" width="9" style="138"/>
    <col min="10" max="10" width="9" style="139"/>
    <col min="11" max="11" width="31.625" style="139" customWidth="1"/>
    <col min="12" max="12" width="28" style="139" bestFit="1" customWidth="1"/>
    <col min="13" max="13" width="4.375" style="139" customWidth="1"/>
    <col min="14" max="16384" width="9" style="139"/>
  </cols>
  <sheetData>
    <row r="1" spans="1:29" ht="18" thickBot="1" x14ac:dyDescent="0.2"/>
    <row r="2" spans="1:29" ht="27" customHeight="1" thickBot="1" x14ac:dyDescent="0.2">
      <c r="A2" s="6" t="s">
        <v>0</v>
      </c>
      <c r="B2" s="189"/>
      <c r="C2" s="140"/>
      <c r="D2" s="141"/>
      <c r="K2" s="142" t="s">
        <v>318</v>
      </c>
      <c r="L2" s="188"/>
      <c r="N2" s="143" t="str">
        <f>IF(L2="","",VLOOKUP(L2,計算シート!$A$45:$B$47,2,FALSE))</f>
        <v/>
      </c>
      <c r="O2" s="138" t="s">
        <v>405</v>
      </c>
      <c r="P2" s="138"/>
      <c r="Q2" s="138"/>
      <c r="R2" s="138"/>
      <c r="S2" s="138"/>
      <c r="T2" s="138"/>
      <c r="W2" s="139" t="s">
        <v>323</v>
      </c>
      <c r="AC2" s="139" t="str">
        <f>IF(計算シート!$M$78=0,"",計算シート!$M$78&amp;"/74　特記入力済み")</f>
        <v/>
      </c>
    </row>
    <row r="3" spans="1:29" ht="27" customHeight="1" thickBot="1" x14ac:dyDescent="0.2">
      <c r="A3" s="185" t="s">
        <v>448</v>
      </c>
      <c r="B3" s="188"/>
      <c r="K3" s="184" t="s">
        <v>479</v>
      </c>
      <c r="L3" s="79"/>
      <c r="N3" s="140"/>
      <c r="O3" s="138"/>
      <c r="P3" s="148" t="s">
        <v>406</v>
      </c>
      <c r="Q3" s="138"/>
      <c r="R3" s="138"/>
      <c r="S3" s="138"/>
      <c r="T3" s="138"/>
      <c r="W3" s="250"/>
      <c r="X3" s="251"/>
      <c r="Y3" s="251"/>
      <c r="Z3" s="251"/>
      <c r="AA3" s="251"/>
      <c r="AB3" s="252"/>
      <c r="AC3" s="139" t="str">
        <f>IF(W3="","",LEN(W3)&amp;"/240　文字")</f>
        <v/>
      </c>
    </row>
    <row r="4" spans="1:29" ht="27" customHeight="1" thickBot="1" x14ac:dyDescent="0.2">
      <c r="A4" s="186" t="s">
        <v>449</v>
      </c>
      <c r="B4" s="188"/>
      <c r="C4" s="187" t="str">
        <f>IF(B4="","",VLOOKUP(B4,計算シート!$A$30:$B$31,2,FALSE))</f>
        <v/>
      </c>
      <c r="D4" s="140" t="str">
        <f>IF(OR(AND($B$5=1,$D$5&gt;45),AND($B$5=2,$D$5&gt;15),AND($B$5=3,$D$5&gt;64)),"元号と矛盾します！！","")</f>
        <v/>
      </c>
      <c r="K4" s="184" t="s">
        <v>477</v>
      </c>
      <c r="L4" s="225"/>
      <c r="N4" s="140" t="str">
        <f>IF(OR(AND($L$2&lt;&gt;1,$L$4="02：老人福祉施設"),AND($L$2&lt;&gt;1,$L$4="03：老人保健施設"),AND($L$2&lt;&gt;1,$L$4="04：療養型医療施設"),AND($L$2&lt;&gt;1,$L$4="10：介護医療院")),"介護度と矛盾します！！","")</f>
        <v/>
      </c>
      <c r="O4" s="138"/>
      <c r="P4" s="148"/>
      <c r="Q4" s="138"/>
      <c r="R4" s="138"/>
      <c r="S4" s="138"/>
      <c r="T4" s="138"/>
      <c r="W4" s="253"/>
      <c r="X4" s="254"/>
      <c r="Y4" s="254"/>
      <c r="Z4" s="254"/>
      <c r="AA4" s="254"/>
      <c r="AB4" s="255"/>
    </row>
    <row r="5" spans="1:29" ht="27" customHeight="1" thickBot="1" x14ac:dyDescent="0.2">
      <c r="A5" s="138" t="s">
        <v>317</v>
      </c>
      <c r="B5" s="190"/>
      <c r="C5" s="187" t="str">
        <f>IF(B5="","",VLOOKUP(B5,計算シート!$A$34:$B$38,2,FALSE))</f>
        <v/>
      </c>
      <c r="D5" s="191"/>
      <c r="E5" s="185" t="s">
        <v>298</v>
      </c>
      <c r="F5" s="191"/>
      <c r="G5" s="185" t="s">
        <v>299</v>
      </c>
      <c r="H5" s="191"/>
      <c r="I5" s="185" t="s">
        <v>9</v>
      </c>
      <c r="K5" s="185" t="s">
        <v>2</v>
      </c>
      <c r="L5" s="219"/>
      <c r="M5" s="174" t="s">
        <v>431</v>
      </c>
      <c r="N5" s="140" t="str">
        <f>IF(OR(AND($L$2="",L5&lt;&gt;""),AND($L$2=3,L5&lt;&gt;"")),"介護度と矛盾します！！","")</f>
        <v/>
      </c>
      <c r="O5" s="138"/>
      <c r="P5" s="138"/>
      <c r="Q5" s="138"/>
      <c r="R5" s="138"/>
      <c r="S5" s="138"/>
      <c r="T5" s="138"/>
      <c r="W5" s="253"/>
      <c r="X5" s="254"/>
      <c r="Y5" s="254"/>
      <c r="Z5" s="254"/>
      <c r="AA5" s="254"/>
      <c r="AB5" s="255"/>
    </row>
    <row r="6" spans="1:29" ht="27" customHeight="1" thickBot="1" x14ac:dyDescent="0.2">
      <c r="A6" s="185" t="s">
        <v>425</v>
      </c>
      <c r="B6" s="188"/>
      <c r="K6" s="185" t="s">
        <v>3</v>
      </c>
      <c r="L6" s="219"/>
      <c r="M6" s="174" t="s">
        <v>431</v>
      </c>
      <c r="N6" s="140" t="str">
        <f>IF(OR(AND($L$2="",L6&lt;&gt;""),AND($L$2=3,L6&lt;&gt;"")),"介護度と矛盾します！！","")</f>
        <v/>
      </c>
      <c r="O6" s="138"/>
      <c r="P6" s="138"/>
      <c r="Q6" s="138"/>
      <c r="R6" s="138"/>
      <c r="S6" s="138"/>
      <c r="T6" s="138"/>
      <c r="W6" s="253"/>
      <c r="X6" s="254"/>
      <c r="Y6" s="254"/>
      <c r="Z6" s="254"/>
      <c r="AA6" s="254"/>
      <c r="AB6" s="255"/>
    </row>
    <row r="7" spans="1:29" ht="27" customHeight="1" thickBot="1" x14ac:dyDescent="0.2">
      <c r="A7" s="144" t="s">
        <v>415</v>
      </c>
      <c r="B7" s="238"/>
      <c r="C7" s="239"/>
      <c r="D7" s="240"/>
      <c r="K7" s="185" t="s">
        <v>4</v>
      </c>
      <c r="L7" s="219"/>
      <c r="M7" s="174" t="s">
        <v>451</v>
      </c>
      <c r="N7" s="140" t="str">
        <f>IF(OR(AND($L$2="",L7&lt;&gt;""),AND($L$2=3,L7&lt;&gt;"")),"介護度と矛盾します！！","")</f>
        <v/>
      </c>
      <c r="O7" s="138"/>
      <c r="P7" s="138"/>
      <c r="Q7" s="138"/>
      <c r="R7" s="138"/>
      <c r="S7" s="138"/>
      <c r="T7" s="138"/>
      <c r="W7" s="253"/>
      <c r="X7" s="254"/>
      <c r="Y7" s="254"/>
      <c r="Z7" s="254"/>
      <c r="AA7" s="254"/>
      <c r="AB7" s="255"/>
    </row>
    <row r="8" spans="1:29" ht="27" customHeight="1" thickBot="1" x14ac:dyDescent="0.2">
      <c r="A8" s="186" t="s">
        <v>371</v>
      </c>
      <c r="B8" s="188"/>
      <c r="K8" s="185" t="s">
        <v>440</v>
      </c>
      <c r="L8" s="219"/>
      <c r="M8" s="174" t="s">
        <v>432</v>
      </c>
      <c r="N8" s="140" t="str">
        <f>IF(AND($L$2&lt;&gt;1,L8&lt;&gt;""),"介護度と矛盾します！！","")</f>
        <v/>
      </c>
      <c r="O8" s="138"/>
      <c r="P8" s="138"/>
      <c r="Q8" s="138"/>
      <c r="R8" s="138"/>
      <c r="S8" s="138"/>
      <c r="T8" s="138"/>
      <c r="W8" s="253"/>
      <c r="X8" s="254"/>
      <c r="Y8" s="254"/>
      <c r="Z8" s="254"/>
      <c r="AA8" s="254"/>
      <c r="AB8" s="255"/>
    </row>
    <row r="9" spans="1:29" ht="27" customHeight="1" thickBot="1" x14ac:dyDescent="0.2">
      <c r="A9" s="186" t="s">
        <v>372</v>
      </c>
      <c r="B9" s="188"/>
      <c r="C9" s="185" t="s">
        <v>402</v>
      </c>
      <c r="K9" s="185" t="s">
        <v>441</v>
      </c>
      <c r="L9" s="219"/>
      <c r="M9" s="174" t="s">
        <v>451</v>
      </c>
      <c r="N9" s="140" t="str">
        <f>IF(AND($L$2&lt;&gt;1,L9&lt;&gt;""),"介護度と矛盾します！！","")</f>
        <v/>
      </c>
      <c r="O9" s="138"/>
      <c r="P9" s="138"/>
      <c r="Q9" s="138"/>
      <c r="R9" s="138"/>
      <c r="S9" s="138"/>
      <c r="T9" s="138"/>
      <c r="W9" s="253"/>
      <c r="X9" s="254"/>
      <c r="Y9" s="254"/>
      <c r="Z9" s="254"/>
      <c r="AA9" s="254"/>
      <c r="AB9" s="255"/>
    </row>
    <row r="10" spans="1:29" ht="27" customHeight="1" thickBot="1" x14ac:dyDescent="0.2">
      <c r="A10" s="186" t="s">
        <v>373</v>
      </c>
      <c r="B10" s="188"/>
      <c r="K10" s="185" t="s">
        <v>442</v>
      </c>
      <c r="L10" s="219"/>
      <c r="M10" s="193" t="s">
        <v>431</v>
      </c>
      <c r="N10" s="140" t="str">
        <f>IF(AND($L$2&lt;&gt;1,L10&lt;&gt;""),"介護度と矛盾します！！","")</f>
        <v/>
      </c>
      <c r="O10" s="138"/>
      <c r="P10" s="138"/>
      <c r="Q10" s="138"/>
      <c r="R10" s="138"/>
      <c r="S10" s="138"/>
      <c r="T10" s="138"/>
      <c r="W10" s="256"/>
      <c r="X10" s="257"/>
      <c r="Y10" s="257"/>
      <c r="Z10" s="257"/>
      <c r="AA10" s="257"/>
      <c r="AB10" s="258"/>
    </row>
    <row r="11" spans="1:29" ht="27" customHeight="1" thickBot="1" x14ac:dyDescent="0.2">
      <c r="A11" s="186" t="s">
        <v>374</v>
      </c>
      <c r="B11" s="188"/>
      <c r="K11" s="185" t="s">
        <v>5</v>
      </c>
      <c r="L11" s="219"/>
      <c r="M11" s="174" t="s">
        <v>431</v>
      </c>
      <c r="N11" s="140" t="str">
        <f>IF(OR(AND($L$2="",L11&lt;&gt;""),AND($L$2=3,L11&lt;&gt;"")),"介護度と矛盾します！！","")</f>
        <v/>
      </c>
      <c r="O11" s="138"/>
      <c r="P11" s="138"/>
      <c r="Q11" s="138"/>
      <c r="R11" s="138"/>
      <c r="S11" s="138"/>
      <c r="T11" s="138"/>
    </row>
    <row r="12" spans="1:29" ht="27" customHeight="1" thickBot="1" x14ac:dyDescent="0.2">
      <c r="A12" s="186" t="s">
        <v>490</v>
      </c>
      <c r="B12" s="188"/>
      <c r="D12" s="183"/>
      <c r="K12" s="185" t="s">
        <v>6</v>
      </c>
      <c r="L12" s="219"/>
      <c r="M12" s="174" t="s">
        <v>431</v>
      </c>
      <c r="N12" s="140" t="str">
        <f>IF(OR(AND($L$2="",L12&lt;&gt;""),AND($L$2=3,L12&lt;&gt;"")),"介護度と矛盾します！！","")</f>
        <v/>
      </c>
      <c r="O12" s="138"/>
      <c r="P12" s="138"/>
      <c r="Q12" s="138"/>
      <c r="R12" s="138"/>
      <c r="S12" s="138"/>
      <c r="T12" s="138"/>
      <c r="W12" s="139" t="s">
        <v>324</v>
      </c>
    </row>
    <row r="13" spans="1:29" ht="27" customHeight="1" thickBot="1" x14ac:dyDescent="0.2">
      <c r="A13" s="186" t="s">
        <v>491</v>
      </c>
      <c r="B13" s="188"/>
      <c r="K13" s="185" t="s">
        <v>7</v>
      </c>
      <c r="L13" s="219"/>
      <c r="M13" s="175" t="s">
        <v>432</v>
      </c>
      <c r="N13" s="140" t="str">
        <f>IF(OR(AND($L$2="",L13&lt;&gt;""),AND($L$2=3,L13&lt;&gt;"")),"介護度と矛盾します！！","")</f>
        <v/>
      </c>
      <c r="O13" s="138"/>
      <c r="P13" s="138"/>
      <c r="Q13" s="138"/>
      <c r="R13" s="138"/>
      <c r="S13" s="138"/>
      <c r="T13" s="138"/>
      <c r="W13" s="250"/>
      <c r="X13" s="251"/>
      <c r="Y13" s="251"/>
      <c r="Z13" s="251"/>
      <c r="AA13" s="251"/>
      <c r="AB13" s="252"/>
      <c r="AC13" s="139" t="str">
        <f>IF(W13="","",LEN(W13)&amp;"/120　文字")</f>
        <v/>
      </c>
    </row>
    <row r="14" spans="1:29" ht="27" customHeight="1" thickBot="1" x14ac:dyDescent="0.2">
      <c r="A14" s="186" t="s">
        <v>492</v>
      </c>
      <c r="B14" s="188"/>
      <c r="D14" s="140" t="str">
        <f>IF(D15="","",IF(AND($B$15=4,$D$15&lt;=28),"元号と矛盾します！！",""))</f>
        <v/>
      </c>
      <c r="K14" s="185" t="s">
        <v>8</v>
      </c>
      <c r="L14" s="219"/>
      <c r="M14" s="175" t="s">
        <v>432</v>
      </c>
      <c r="N14" s="140" t="str">
        <f>IF(OR(AND($L$2="",L14&lt;&gt;""),AND($L$2=3,L14&lt;&gt;"")),"介護度と矛盾します！！","")</f>
        <v/>
      </c>
      <c r="O14" s="138"/>
      <c r="P14" s="138"/>
      <c r="Q14" s="138"/>
      <c r="R14" s="138"/>
      <c r="S14" s="138"/>
      <c r="T14" s="138"/>
      <c r="W14" s="253"/>
      <c r="X14" s="254"/>
      <c r="Y14" s="254"/>
      <c r="Z14" s="254"/>
      <c r="AA14" s="254"/>
      <c r="AB14" s="255"/>
    </row>
    <row r="15" spans="1:29" ht="27" customHeight="1" thickBot="1" x14ac:dyDescent="0.2">
      <c r="A15" s="186" t="s">
        <v>450</v>
      </c>
      <c r="B15" s="194">
        <v>5</v>
      </c>
      <c r="C15" s="187" t="str">
        <f>IF(B15="","",VLOOKUP(B15,計算シート!$A$34:$B$38,2,FALSE))</f>
        <v>令和</v>
      </c>
      <c r="D15" s="191"/>
      <c r="E15" s="185" t="s">
        <v>298</v>
      </c>
      <c r="F15" s="191"/>
      <c r="G15" s="185" t="s">
        <v>299</v>
      </c>
      <c r="H15" s="191"/>
      <c r="I15" s="185" t="s">
        <v>9</v>
      </c>
      <c r="K15" s="185" t="s">
        <v>443</v>
      </c>
      <c r="L15" s="219"/>
      <c r="M15" s="175" t="s">
        <v>432</v>
      </c>
      <c r="N15" s="140" t="str">
        <f>IF(AND($L$2&lt;&gt;1,L15&lt;&gt;""),"介護度と矛盾します！！","")</f>
        <v/>
      </c>
      <c r="O15" s="138"/>
      <c r="P15" s="138"/>
      <c r="Q15" s="138"/>
      <c r="R15" s="138"/>
      <c r="S15" s="138"/>
      <c r="T15" s="138"/>
      <c r="W15" s="253"/>
      <c r="X15" s="254"/>
      <c r="Y15" s="254"/>
      <c r="Z15" s="254"/>
      <c r="AA15" s="254"/>
      <c r="AB15" s="255"/>
    </row>
    <row r="16" spans="1:29" ht="27" customHeight="1" thickBot="1" x14ac:dyDescent="0.2">
      <c r="A16" s="185" t="s">
        <v>424</v>
      </c>
      <c r="B16" s="192"/>
      <c r="K16" s="185" t="s">
        <v>444</v>
      </c>
      <c r="L16" s="219"/>
      <c r="M16" s="175" t="s">
        <v>432</v>
      </c>
      <c r="N16" s="140" t="str">
        <f>IF(AND($L$2&lt;&gt;1,L16&lt;&gt;""),"介護度と矛盾します！！","")</f>
        <v/>
      </c>
      <c r="O16" s="138"/>
      <c r="P16" s="138"/>
      <c r="Q16" s="138"/>
      <c r="R16" s="138"/>
      <c r="S16" s="138"/>
      <c r="T16" s="138"/>
      <c r="W16" s="253"/>
      <c r="X16" s="254"/>
      <c r="Y16" s="254"/>
      <c r="Z16" s="254"/>
      <c r="AA16" s="254"/>
      <c r="AB16" s="255"/>
    </row>
    <row r="17" spans="1:29" ht="27" customHeight="1" thickBot="1" x14ac:dyDescent="0.2">
      <c r="A17" s="185" t="s">
        <v>378</v>
      </c>
      <c r="B17" s="188"/>
      <c r="K17" s="185" t="s">
        <v>10</v>
      </c>
      <c r="L17" s="219"/>
      <c r="M17" s="175" t="s">
        <v>431</v>
      </c>
      <c r="N17" s="140" t="str">
        <f>IF(OR(AND($L$2="",L17&lt;&gt;""),AND($L$2=3,L17&lt;&gt;"")),"介護度と矛盾します！！","")</f>
        <v/>
      </c>
      <c r="O17" s="138"/>
      <c r="P17" s="138"/>
      <c r="Q17" s="138"/>
      <c r="R17" s="138"/>
      <c r="S17" s="138"/>
      <c r="T17" s="138"/>
      <c r="W17" s="253"/>
      <c r="X17" s="254"/>
      <c r="Y17" s="254"/>
      <c r="Z17" s="254"/>
      <c r="AA17" s="254"/>
      <c r="AB17" s="255"/>
    </row>
    <row r="18" spans="1:29" ht="27" customHeight="1" thickBot="1" x14ac:dyDescent="0.2">
      <c r="A18" s="185" t="s">
        <v>426</v>
      </c>
      <c r="B18" s="189"/>
      <c r="K18" s="185" t="s">
        <v>11</v>
      </c>
      <c r="L18" s="219"/>
      <c r="M18" s="175" t="s">
        <v>431</v>
      </c>
      <c r="N18" s="140" t="str">
        <f>IF(OR(AND($L$2="",L18&lt;&gt;""),AND($L$2=3,L18&lt;&gt;"")),"介護度と矛盾します！！","")</f>
        <v/>
      </c>
      <c r="O18" s="138"/>
      <c r="P18" s="138"/>
      <c r="Q18" s="138"/>
      <c r="R18" s="138"/>
      <c r="S18" s="138"/>
      <c r="T18" s="138"/>
      <c r="W18" s="253"/>
      <c r="X18" s="254"/>
      <c r="Y18" s="254"/>
      <c r="Z18" s="254"/>
      <c r="AA18" s="254"/>
      <c r="AB18" s="255"/>
    </row>
    <row r="19" spans="1:29" ht="27" customHeight="1" thickBot="1" x14ac:dyDescent="0.2">
      <c r="A19" s="185" t="s">
        <v>1</v>
      </c>
      <c r="B19" s="235"/>
      <c r="C19" s="236"/>
      <c r="D19" s="237"/>
      <c r="K19" s="185" t="s">
        <v>12</v>
      </c>
      <c r="L19" s="219"/>
      <c r="M19" s="175" t="s">
        <v>434</v>
      </c>
      <c r="N19" s="140" t="str">
        <f>IF(OR(AND($L$2="",L19&lt;&gt;""),AND($L$2=3,L19&lt;&gt;"")),"介護度と矛盾します！！","")</f>
        <v/>
      </c>
      <c r="O19" s="138"/>
      <c r="P19" s="138"/>
      <c r="Q19" s="138"/>
      <c r="R19" s="138"/>
      <c r="S19" s="138"/>
      <c r="T19" s="138"/>
      <c r="W19" s="253"/>
      <c r="X19" s="254"/>
      <c r="Y19" s="254"/>
      <c r="Z19" s="254"/>
      <c r="AA19" s="254"/>
      <c r="AB19" s="255"/>
    </row>
    <row r="20" spans="1:29" ht="27" customHeight="1" thickBot="1" x14ac:dyDescent="0.2">
      <c r="A20" s="185" t="s">
        <v>403</v>
      </c>
      <c r="B20" s="241"/>
      <c r="C20" s="242"/>
      <c r="D20" s="242"/>
      <c r="E20" s="242"/>
      <c r="F20" s="242"/>
      <c r="G20" s="242"/>
      <c r="H20" s="243"/>
      <c r="K20" s="185" t="s">
        <v>13</v>
      </c>
      <c r="L20" s="219"/>
      <c r="M20" s="175" t="s">
        <v>432</v>
      </c>
      <c r="N20" s="140" t="str">
        <f>IF(OR(AND($L$2="",L20&lt;&gt;""),AND($L$2=3,L20&lt;&gt;"")),"介護度と矛盾します！！","")</f>
        <v/>
      </c>
      <c r="O20" s="138"/>
      <c r="P20" s="138"/>
      <c r="Q20" s="138"/>
      <c r="R20" s="138"/>
      <c r="S20" s="138"/>
      <c r="T20" s="138"/>
      <c r="W20" s="253"/>
      <c r="X20" s="254"/>
      <c r="Y20" s="254"/>
      <c r="Z20" s="254"/>
      <c r="AA20" s="254"/>
      <c r="AB20" s="255"/>
    </row>
    <row r="21" spans="1:29" ht="27" customHeight="1" thickBot="1" x14ac:dyDescent="0.2">
      <c r="A21" s="151" t="s">
        <v>408</v>
      </c>
      <c r="B21" s="244"/>
      <c r="C21" s="245"/>
      <c r="D21" s="245"/>
      <c r="E21" s="245"/>
      <c r="F21" s="245"/>
      <c r="G21" s="245"/>
      <c r="H21" s="246"/>
      <c r="K21" s="186" t="s">
        <v>445</v>
      </c>
      <c r="L21" s="219"/>
      <c r="M21" s="175"/>
      <c r="N21" s="143" t="str">
        <f>IF(L21=1,"有","")</f>
        <v/>
      </c>
      <c r="O21" s="140" t="str">
        <f>IF(OR(AND($L$2="",L21&lt;&gt;""),AND($L$2=3,L21&lt;&gt;"")),"介護度と矛盾します！！","")</f>
        <v/>
      </c>
      <c r="P21" s="138"/>
      <c r="Q21" s="138"/>
      <c r="R21" s="138"/>
      <c r="S21" s="138"/>
      <c r="T21" s="138"/>
      <c r="W21" s="253"/>
      <c r="X21" s="254"/>
      <c r="Y21" s="254"/>
      <c r="Z21" s="254"/>
      <c r="AA21" s="254"/>
      <c r="AB21" s="255"/>
    </row>
    <row r="22" spans="1:29" ht="27" customHeight="1" thickBot="1" x14ac:dyDescent="0.2">
      <c r="B22" s="247"/>
      <c r="C22" s="248"/>
      <c r="D22" s="248"/>
      <c r="E22" s="248"/>
      <c r="F22" s="248"/>
      <c r="G22" s="248"/>
      <c r="H22" s="249"/>
      <c r="K22" s="185" t="s">
        <v>14</v>
      </c>
      <c r="L22" s="219"/>
      <c r="M22" s="175" t="s">
        <v>431</v>
      </c>
      <c r="N22" s="140" t="str">
        <f>IF(OR(AND($L$2="",L22&lt;&gt;""),AND($L$2=3,L22&lt;&gt;"")),"介護度と矛盾します！！","")</f>
        <v/>
      </c>
      <c r="O22" s="138"/>
      <c r="P22" s="138"/>
      <c r="Q22" s="138"/>
      <c r="R22" s="138"/>
      <c r="S22" s="138"/>
      <c r="T22" s="138"/>
      <c r="W22" s="259"/>
      <c r="X22" s="260"/>
      <c r="Y22" s="260"/>
      <c r="Z22" s="260"/>
      <c r="AA22" s="260"/>
      <c r="AB22" s="261"/>
    </row>
    <row r="23" spans="1:29" ht="27" customHeight="1" thickBot="1" x14ac:dyDescent="0.2">
      <c r="K23" s="185" t="s">
        <v>15</v>
      </c>
      <c r="L23" s="219"/>
      <c r="M23" s="175" t="s">
        <v>432</v>
      </c>
      <c r="N23" s="140" t="str">
        <f>IF(OR(AND($L$2="",L23&lt;&gt;""),AND($L$2=3,L23&lt;&gt;"")),"介護度と矛盾します！！","")</f>
        <v/>
      </c>
      <c r="O23" s="138"/>
      <c r="P23" s="138"/>
      <c r="Q23" s="138"/>
      <c r="R23" s="138"/>
      <c r="S23" s="138"/>
      <c r="T23" s="138"/>
    </row>
    <row r="24" spans="1:29" ht="27" customHeight="1" thickBot="1" x14ac:dyDescent="0.2">
      <c r="B24" s="166"/>
      <c r="K24" s="185" t="s">
        <v>16</v>
      </c>
      <c r="L24" s="219"/>
      <c r="M24" s="176" t="s">
        <v>433</v>
      </c>
      <c r="N24" s="140" t="str">
        <f>IF(OR(AND($L$2="",L24&lt;&gt;""),AND($L$2=3,L24&lt;&gt;"")),"介護度と矛盾します！！","")</f>
        <v/>
      </c>
      <c r="O24" s="138"/>
      <c r="P24" s="138"/>
      <c r="Q24" s="138"/>
      <c r="R24" s="138"/>
      <c r="S24" s="138"/>
      <c r="T24" s="138"/>
      <c r="W24" s="139" t="s">
        <v>380</v>
      </c>
    </row>
    <row r="25" spans="1:29" ht="27" customHeight="1" thickBot="1" x14ac:dyDescent="0.2">
      <c r="B25" s="166"/>
      <c r="K25" s="185" t="s">
        <v>17</v>
      </c>
      <c r="L25" s="219"/>
      <c r="M25" s="175" t="s">
        <v>432</v>
      </c>
      <c r="N25" s="140" t="str">
        <f>IF(OR(AND($L$2="",L25&lt;&gt;""),AND($L$2=3,L25&lt;&gt;"")),"介護度と矛盾します！！","")</f>
        <v/>
      </c>
      <c r="O25" s="138"/>
      <c r="P25" s="138"/>
      <c r="Q25" s="138"/>
      <c r="R25" s="138"/>
      <c r="S25" s="138"/>
      <c r="T25" s="138"/>
      <c r="W25" s="226"/>
      <c r="X25" s="227"/>
      <c r="Y25" s="227"/>
      <c r="Z25" s="227"/>
      <c r="AA25" s="227"/>
      <c r="AB25" s="228"/>
      <c r="AC25" s="139" t="str">
        <f>IF(W25="","",LEN(W25)&amp;"/120　文字")</f>
        <v/>
      </c>
    </row>
    <row r="26" spans="1:29" ht="27" customHeight="1" thickBot="1" x14ac:dyDescent="0.2">
      <c r="B26" s="166"/>
      <c r="K26" s="185" t="s">
        <v>322</v>
      </c>
      <c r="L26" s="145">
        <f>SUM(L5:L20,L22:L25)</f>
        <v>0</v>
      </c>
      <c r="N26" s="138"/>
      <c r="O26" s="138"/>
      <c r="P26" s="138"/>
      <c r="Q26" s="138"/>
      <c r="R26" s="138"/>
      <c r="S26" s="138"/>
      <c r="T26" s="138"/>
      <c r="W26" s="229"/>
      <c r="X26" s="230"/>
      <c r="Y26" s="230"/>
      <c r="Z26" s="230"/>
      <c r="AA26" s="230"/>
      <c r="AB26" s="231"/>
    </row>
    <row r="27" spans="1:29" ht="27" customHeight="1" thickBot="1" x14ac:dyDescent="0.2">
      <c r="K27" s="185" t="s">
        <v>446</v>
      </c>
      <c r="L27" s="262"/>
      <c r="M27" s="263"/>
      <c r="N27" s="264"/>
      <c r="O27" s="146"/>
      <c r="P27" s="146"/>
      <c r="Q27" s="138"/>
      <c r="R27" s="138"/>
      <c r="S27" s="138"/>
      <c r="T27" s="138"/>
      <c r="W27" s="229"/>
      <c r="X27" s="230"/>
      <c r="Y27" s="230"/>
      <c r="Z27" s="230"/>
      <c r="AA27" s="230"/>
      <c r="AB27" s="231"/>
    </row>
    <row r="28" spans="1:29" ht="27" customHeight="1" thickBot="1" x14ac:dyDescent="0.2">
      <c r="K28" s="185" t="s">
        <v>447</v>
      </c>
      <c r="L28" s="262"/>
      <c r="M28" s="263"/>
      <c r="N28" s="264"/>
      <c r="O28" s="146"/>
      <c r="P28" s="138"/>
      <c r="Q28" s="138"/>
      <c r="R28" s="138"/>
      <c r="S28" s="138"/>
      <c r="W28" s="229"/>
      <c r="X28" s="230"/>
      <c r="Y28" s="230"/>
      <c r="Z28" s="230"/>
      <c r="AA28" s="230"/>
      <c r="AB28" s="231"/>
    </row>
    <row r="29" spans="1:29" ht="27" customHeight="1" x14ac:dyDescent="0.15">
      <c r="Q29" s="138"/>
      <c r="R29" s="138"/>
      <c r="W29" s="229"/>
      <c r="X29" s="230"/>
      <c r="Y29" s="230"/>
      <c r="Z29" s="230"/>
      <c r="AA29" s="230"/>
      <c r="AB29" s="231"/>
    </row>
    <row r="30" spans="1:29" ht="27" customHeight="1" x14ac:dyDescent="0.15">
      <c r="Q30" s="138"/>
      <c r="W30" s="229"/>
      <c r="X30" s="230"/>
      <c r="Y30" s="230"/>
      <c r="Z30" s="230"/>
      <c r="AA30" s="230"/>
      <c r="AB30" s="231"/>
    </row>
    <row r="31" spans="1:29" ht="27" customHeight="1" x14ac:dyDescent="0.15">
      <c r="W31" s="229"/>
      <c r="X31" s="230"/>
      <c r="Y31" s="230"/>
      <c r="Z31" s="230"/>
      <c r="AA31" s="230"/>
      <c r="AB31" s="231"/>
    </row>
    <row r="32" spans="1:29" ht="27" customHeight="1" thickBot="1" x14ac:dyDescent="0.2">
      <c r="W32" s="232"/>
      <c r="X32" s="233"/>
      <c r="Y32" s="233"/>
      <c r="Z32" s="233"/>
      <c r="AA32" s="233"/>
      <c r="AB32" s="234"/>
    </row>
    <row r="33" spans="1:29" ht="27" customHeight="1" x14ac:dyDescent="0.15"/>
    <row r="34" spans="1:29" ht="27" customHeight="1" thickBot="1" x14ac:dyDescent="0.2">
      <c r="W34" s="139" t="s">
        <v>379</v>
      </c>
    </row>
    <row r="35" spans="1:29" ht="27" customHeight="1" x14ac:dyDescent="0.15">
      <c r="W35" s="226"/>
      <c r="X35" s="227"/>
      <c r="Y35" s="227"/>
      <c r="Z35" s="227"/>
      <c r="AA35" s="227"/>
      <c r="AB35" s="228"/>
      <c r="AC35" s="139" t="str">
        <f>IF(W35="","",LEN(W35)&amp;"/120　文字")</f>
        <v/>
      </c>
    </row>
    <row r="36" spans="1:29" ht="27" customHeight="1" x14ac:dyDescent="0.15">
      <c r="W36" s="229"/>
      <c r="X36" s="230"/>
      <c r="Y36" s="230"/>
      <c r="Z36" s="230"/>
      <c r="AA36" s="230"/>
      <c r="AB36" s="231"/>
    </row>
    <row r="37" spans="1:29" ht="27" customHeight="1" x14ac:dyDescent="0.15">
      <c r="W37" s="229"/>
      <c r="X37" s="230"/>
      <c r="Y37" s="230"/>
      <c r="Z37" s="230"/>
      <c r="AA37" s="230"/>
      <c r="AB37" s="231"/>
    </row>
    <row r="38" spans="1:29" ht="27" customHeight="1" x14ac:dyDescent="0.15">
      <c r="W38" s="229"/>
      <c r="X38" s="230"/>
      <c r="Y38" s="230"/>
      <c r="Z38" s="230"/>
      <c r="AA38" s="230"/>
      <c r="AB38" s="231"/>
    </row>
    <row r="39" spans="1:29" ht="27" customHeight="1" x14ac:dyDescent="0.15">
      <c r="W39" s="229"/>
      <c r="X39" s="230"/>
      <c r="Y39" s="230"/>
      <c r="Z39" s="230"/>
      <c r="AA39" s="230"/>
      <c r="AB39" s="231"/>
    </row>
    <row r="40" spans="1:29" ht="27" customHeight="1" x14ac:dyDescent="0.15">
      <c r="W40" s="229"/>
      <c r="X40" s="230"/>
      <c r="Y40" s="230"/>
      <c r="Z40" s="230"/>
      <c r="AA40" s="230"/>
      <c r="AB40" s="231"/>
    </row>
    <row r="41" spans="1:29" ht="27" customHeight="1" x14ac:dyDescent="0.15">
      <c r="W41" s="229"/>
      <c r="X41" s="230"/>
      <c r="Y41" s="230"/>
      <c r="Z41" s="230"/>
      <c r="AA41" s="230"/>
      <c r="AB41" s="231"/>
    </row>
    <row r="42" spans="1:29" ht="27" customHeight="1" thickBot="1" x14ac:dyDescent="0.2">
      <c r="W42" s="232"/>
      <c r="X42" s="233"/>
      <c r="Y42" s="233"/>
      <c r="Z42" s="233"/>
      <c r="AA42" s="233"/>
      <c r="AB42" s="234"/>
    </row>
    <row r="43" spans="1:29" ht="27" customHeight="1" x14ac:dyDescent="0.15">
      <c r="A43" s="139"/>
      <c r="B43" s="139"/>
      <c r="C43" s="139"/>
      <c r="D43" s="139"/>
      <c r="E43" s="139"/>
      <c r="F43" s="139"/>
      <c r="G43" s="139"/>
      <c r="H43" s="139"/>
      <c r="I43" s="139"/>
    </row>
    <row r="44" spans="1:29" ht="27" customHeight="1" thickBot="1" x14ac:dyDescent="0.2">
      <c r="A44" s="139"/>
      <c r="B44" s="139"/>
      <c r="C44" s="139"/>
      <c r="D44" s="139"/>
      <c r="E44" s="139"/>
      <c r="F44" s="139"/>
      <c r="G44" s="139"/>
      <c r="H44" s="139"/>
      <c r="I44" s="139"/>
      <c r="W44" s="139" t="s">
        <v>404</v>
      </c>
    </row>
    <row r="45" spans="1:29" ht="27" customHeight="1" x14ac:dyDescent="0.15">
      <c r="A45" s="158"/>
      <c r="B45" s="158"/>
      <c r="C45" s="158"/>
      <c r="D45" s="158"/>
      <c r="E45" s="158"/>
      <c r="F45" s="158"/>
      <c r="G45" s="139"/>
      <c r="W45" s="226"/>
      <c r="X45" s="227"/>
      <c r="Y45" s="227"/>
      <c r="Z45" s="227"/>
      <c r="AA45" s="227"/>
      <c r="AB45" s="228"/>
      <c r="AC45" s="139" t="str">
        <f>IF(W45="","",LEN(W45)&amp;"/120　文字")</f>
        <v/>
      </c>
    </row>
    <row r="46" spans="1:29" ht="27" customHeight="1" x14ac:dyDescent="0.15">
      <c r="A46" s="158"/>
      <c r="B46" s="158"/>
      <c r="C46" s="158"/>
      <c r="D46" s="158"/>
      <c r="E46" s="158"/>
      <c r="F46" s="158"/>
      <c r="G46" s="139"/>
      <c r="W46" s="229"/>
      <c r="X46" s="230"/>
      <c r="Y46" s="230"/>
      <c r="Z46" s="230"/>
      <c r="AA46" s="230"/>
      <c r="AB46" s="231"/>
    </row>
    <row r="47" spans="1:29" ht="27" customHeight="1" x14ac:dyDescent="0.15">
      <c r="A47" s="158"/>
      <c r="B47" s="158"/>
      <c r="C47" s="158"/>
      <c r="D47" s="158"/>
      <c r="E47" s="158"/>
      <c r="F47" s="158"/>
      <c r="G47" s="139"/>
      <c r="W47" s="229"/>
      <c r="X47" s="230"/>
      <c r="Y47" s="230"/>
      <c r="Z47" s="230"/>
      <c r="AA47" s="230"/>
      <c r="AB47" s="231"/>
    </row>
    <row r="48" spans="1:29" ht="27" customHeight="1" x14ac:dyDescent="0.15">
      <c r="A48" s="158"/>
      <c r="B48" s="158"/>
      <c r="C48" s="158"/>
      <c r="D48" s="158"/>
      <c r="E48" s="158"/>
      <c r="F48" s="158"/>
      <c r="G48" s="139"/>
      <c r="W48" s="229"/>
      <c r="X48" s="230"/>
      <c r="Y48" s="230"/>
      <c r="Z48" s="230"/>
      <c r="AA48" s="230"/>
      <c r="AB48" s="231"/>
    </row>
    <row r="49" spans="1:28" ht="27" customHeight="1" x14ac:dyDescent="0.15">
      <c r="A49" s="158"/>
      <c r="B49" s="158"/>
      <c r="C49" s="158"/>
      <c r="D49" s="158"/>
      <c r="E49" s="158"/>
      <c r="F49" s="158"/>
      <c r="G49" s="139"/>
      <c r="W49" s="229"/>
      <c r="X49" s="230"/>
      <c r="Y49" s="230"/>
      <c r="Z49" s="230"/>
      <c r="AA49" s="230"/>
      <c r="AB49" s="231"/>
    </row>
    <row r="50" spans="1:28" ht="27" customHeight="1" x14ac:dyDescent="0.15">
      <c r="A50" s="158"/>
      <c r="B50" s="158"/>
      <c r="C50" s="158"/>
      <c r="D50" s="158"/>
      <c r="E50" s="158"/>
      <c r="F50" s="158"/>
      <c r="G50" s="139"/>
      <c r="W50" s="229"/>
      <c r="X50" s="230"/>
      <c r="Y50" s="230"/>
      <c r="Z50" s="230"/>
      <c r="AA50" s="230"/>
      <c r="AB50" s="231"/>
    </row>
    <row r="51" spans="1:28" ht="27" customHeight="1" x14ac:dyDescent="0.15">
      <c r="A51" s="158"/>
      <c r="B51" s="158"/>
      <c r="C51" s="158"/>
      <c r="D51" s="158"/>
      <c r="E51" s="158"/>
      <c r="F51" s="158"/>
      <c r="G51" s="139"/>
      <c r="W51" s="229"/>
      <c r="X51" s="230"/>
      <c r="Y51" s="230"/>
      <c r="Z51" s="230"/>
      <c r="AA51" s="230"/>
      <c r="AB51" s="231"/>
    </row>
    <row r="52" spans="1:28" ht="27" customHeight="1" thickBot="1" x14ac:dyDescent="0.2">
      <c r="A52" s="158"/>
      <c r="B52" s="158"/>
      <c r="C52" s="158"/>
      <c r="D52" s="158"/>
      <c r="E52" s="158"/>
      <c r="F52" s="158"/>
      <c r="G52" s="139"/>
      <c r="W52" s="232"/>
      <c r="X52" s="233"/>
      <c r="Y52" s="233"/>
      <c r="Z52" s="233"/>
      <c r="AA52" s="233"/>
      <c r="AB52" s="234"/>
    </row>
    <row r="53" spans="1:28" ht="27" customHeight="1" x14ac:dyDescent="0.15"/>
  </sheetData>
  <sheetProtection algorithmName="SHA-512" hashValue="gXoYvmoCYYqcvIgdnljVsBmeFqVtWspMSDMWiGqMcdWNYHapHDXlTI8f1YxQWZAfzFwZ1ZCvK2XiHwUqCU48oQ==" saltValue="wPd8siD/L7ge3UcPoW7jlA==" spinCount="100000" sheet="1" objects="1" scenarios="1" selectLockedCells="1"/>
  <mergeCells count="10">
    <mergeCell ref="W25:AB32"/>
    <mergeCell ref="W35:AB42"/>
    <mergeCell ref="W45:AB52"/>
    <mergeCell ref="B19:D19"/>
    <mergeCell ref="B7:D7"/>
    <mergeCell ref="B20:H22"/>
    <mergeCell ref="W3:AB10"/>
    <mergeCell ref="W13:AB22"/>
    <mergeCell ref="L27:N27"/>
    <mergeCell ref="L28:N28"/>
  </mergeCells>
  <phoneticPr fontId="1"/>
  <conditionalFormatting sqref="A10:A11">
    <cfRule type="expression" dxfId="67" priority="64">
      <formula>$B$9="なし"</formula>
    </cfRule>
  </conditionalFormatting>
  <conditionalFormatting sqref="B2">
    <cfRule type="expression" dxfId="66" priority="102">
      <formula>$B$2=""</formula>
    </cfRule>
  </conditionalFormatting>
  <conditionalFormatting sqref="B3">
    <cfRule type="expression" dxfId="65" priority="101">
      <formula>$B$3=""</formula>
    </cfRule>
  </conditionalFormatting>
  <conditionalFormatting sqref="B4">
    <cfRule type="expression" dxfId="64" priority="99">
      <formula>$B$4=""</formula>
    </cfRule>
  </conditionalFormatting>
  <conditionalFormatting sqref="B5">
    <cfRule type="expression" dxfId="63" priority="96">
      <formula>$B5=""</formula>
    </cfRule>
  </conditionalFormatting>
  <conditionalFormatting sqref="B6">
    <cfRule type="expression" dxfId="62" priority="49">
      <formula>$B$6=""</formula>
    </cfRule>
  </conditionalFormatting>
  <conditionalFormatting sqref="B8">
    <cfRule type="expression" dxfId="61" priority="35">
      <formula>$B$8=""</formula>
    </cfRule>
  </conditionalFormatting>
  <conditionalFormatting sqref="B9">
    <cfRule type="expression" dxfId="60" priority="55">
      <formula>$B$9=""</formula>
    </cfRule>
  </conditionalFormatting>
  <conditionalFormatting sqref="B10">
    <cfRule type="expression" dxfId="59" priority="33">
      <formula>$B$9="なし"</formula>
    </cfRule>
    <cfRule type="expression" dxfId="58" priority="34">
      <formula>$B$10=""</formula>
    </cfRule>
    <cfRule type="expression" dxfId="57" priority="63">
      <formula>$B$9="なし"</formula>
    </cfRule>
  </conditionalFormatting>
  <conditionalFormatting sqref="B11">
    <cfRule type="expression" dxfId="56" priority="16">
      <formula>$B$9="なし"</formula>
    </cfRule>
    <cfRule type="expression" dxfId="55" priority="17">
      <formula>$B$11=""</formula>
    </cfRule>
    <cfRule type="expression" dxfId="54" priority="18">
      <formula>$B$9=""</formula>
    </cfRule>
  </conditionalFormatting>
  <conditionalFormatting sqref="B12">
    <cfRule type="expression" dxfId="53" priority="68">
      <formula>$B$12=""</formula>
    </cfRule>
  </conditionalFormatting>
  <conditionalFormatting sqref="B13">
    <cfRule type="expression" dxfId="52" priority="67">
      <formula>$B$13=""</formula>
    </cfRule>
  </conditionalFormatting>
  <conditionalFormatting sqref="B14">
    <cfRule type="expression" dxfId="51" priority="66">
      <formula>$B$14=""</formula>
    </cfRule>
  </conditionalFormatting>
  <conditionalFormatting sqref="B15">
    <cfRule type="expression" dxfId="50" priority="30">
      <formula>$B$15=""</formula>
    </cfRule>
  </conditionalFormatting>
  <conditionalFormatting sqref="B16">
    <cfRule type="expression" dxfId="49" priority="41">
      <formula>$B$16=""</formula>
    </cfRule>
  </conditionalFormatting>
  <conditionalFormatting sqref="B17">
    <cfRule type="expression" dxfId="48" priority="86">
      <formula>$B$17=""</formula>
    </cfRule>
  </conditionalFormatting>
  <conditionalFormatting sqref="B18">
    <cfRule type="expression" dxfId="47" priority="36">
      <formula>$B$18=""</formula>
    </cfRule>
  </conditionalFormatting>
  <conditionalFormatting sqref="B19">
    <cfRule type="expression" dxfId="46" priority="85">
      <formula>$B$19=""</formula>
    </cfRule>
  </conditionalFormatting>
  <conditionalFormatting sqref="B7:D7">
    <cfRule type="expression" dxfId="45" priority="69">
      <formula>$B$7=""</formula>
    </cfRule>
  </conditionalFormatting>
  <conditionalFormatting sqref="D5">
    <cfRule type="expression" dxfId="44" priority="97">
      <formula>$D$5=""</formula>
    </cfRule>
  </conditionalFormatting>
  <conditionalFormatting sqref="D15">
    <cfRule type="expression" dxfId="43" priority="90">
      <formula>$D$15=""</formula>
    </cfRule>
  </conditionalFormatting>
  <conditionalFormatting sqref="F5">
    <cfRule type="expression" dxfId="42" priority="95">
      <formula>$F$5=""</formula>
    </cfRule>
  </conditionalFormatting>
  <conditionalFormatting sqref="F15">
    <cfRule type="expression" dxfId="41" priority="89">
      <formula>$F$15=""</formula>
    </cfRule>
  </conditionalFormatting>
  <conditionalFormatting sqref="H5">
    <cfRule type="expression" dxfId="40" priority="93">
      <formula>$H$5=""</formula>
    </cfRule>
  </conditionalFormatting>
  <conditionalFormatting sqref="H15">
    <cfRule type="expression" dxfId="39" priority="88">
      <formula>$H$15=""</formula>
    </cfRule>
  </conditionalFormatting>
  <conditionalFormatting sqref="K5:K29">
    <cfRule type="expression" dxfId="38" priority="8">
      <formula>$L$2=3</formula>
    </cfRule>
  </conditionalFormatting>
  <conditionalFormatting sqref="K8:K10 K15:K16">
    <cfRule type="expression" dxfId="37" priority="77">
      <formula>OR($L$2=2,$L$2=3)</formula>
    </cfRule>
  </conditionalFormatting>
  <conditionalFormatting sqref="L2">
    <cfRule type="expression" dxfId="36" priority="84">
      <formula>$L$2=""</formula>
    </cfRule>
  </conditionalFormatting>
  <conditionalFormatting sqref="L3">
    <cfRule type="expression" dxfId="35" priority="1">
      <formula>$L$3=""</formula>
    </cfRule>
  </conditionalFormatting>
  <conditionalFormatting sqref="L5:L28 M27:N29">
    <cfRule type="expression" dxfId="34" priority="81">
      <formula>$L$2=3</formula>
    </cfRule>
  </conditionalFormatting>
  <conditionalFormatting sqref="L8">
    <cfRule type="expression" dxfId="33" priority="12">
      <formula>OR($L$2=2,$L$2=3)</formula>
    </cfRule>
  </conditionalFormatting>
  <conditionalFormatting sqref="L9">
    <cfRule type="expression" dxfId="32" priority="11">
      <formula>OR($L$2=2,$L$2=3)</formula>
    </cfRule>
  </conditionalFormatting>
  <conditionalFormatting sqref="L9:L10">
    <cfRule type="expression" dxfId="31" priority="15">
      <formula>OR($L$2=2,$L$2=3)</formula>
    </cfRule>
  </conditionalFormatting>
  <conditionalFormatting sqref="L15">
    <cfRule type="expression" dxfId="30" priority="10">
      <formula>OR($L$2=2,$L$2=3)</formula>
    </cfRule>
  </conditionalFormatting>
  <conditionalFormatting sqref="L15:L16">
    <cfRule type="expression" dxfId="29" priority="14">
      <formula>OR($L$2=2,$L$2=3)</formula>
    </cfRule>
  </conditionalFormatting>
  <conditionalFormatting sqref="M5:M26">
    <cfRule type="expression" dxfId="28" priority="29">
      <formula>$L$2=3</formula>
    </cfRule>
  </conditionalFormatting>
  <conditionalFormatting sqref="M8:M10">
    <cfRule type="expression" dxfId="27" priority="4">
      <formula>OR($L$2=2,$L$2=3)</formula>
    </cfRule>
  </conditionalFormatting>
  <conditionalFormatting sqref="M15:M16">
    <cfRule type="expression" dxfId="26" priority="2">
      <formula>OR($L$2=2,$L$2=3)</formula>
    </cfRule>
  </conditionalFormatting>
  <conditionalFormatting sqref="N25:N26">
    <cfRule type="expression" dxfId="25" priority="7">
      <formula>$L$2=3</formula>
    </cfRule>
  </conditionalFormatting>
  <conditionalFormatting sqref="W3">
    <cfRule type="expression" dxfId="24" priority="61">
      <formula>$W$3=""</formula>
    </cfRule>
  </conditionalFormatting>
  <dataValidations count="19">
    <dataValidation imeMode="hiragana" allowBlank="1" showInputMessage="1" showErrorMessage="1" sqref="B12:B13 B19:D19 B3 B20:H22 B9 B7:D7 B17" xr:uid="{00000000-0002-0000-0000-000000000000}"/>
    <dataValidation type="whole" imeMode="halfAlpha" allowBlank="1" showInputMessage="1" showErrorMessage="1" sqref="F5 F15" xr:uid="{00000000-0002-0000-0000-000001000000}">
      <formula1>1</formula1>
      <formula2>12</formula2>
    </dataValidation>
    <dataValidation type="whole" imeMode="halfAlpha" allowBlank="1" showInputMessage="1" showErrorMessage="1" sqref="H5 H15" xr:uid="{00000000-0002-0000-0000-000002000000}">
      <formula1>1</formula1>
      <formula2>31</formula2>
    </dataValidation>
    <dataValidation imeMode="halfAlpha" allowBlank="1" showInputMessage="1" showErrorMessage="1" sqref="B14 B8 B24:B26 B6" xr:uid="{00000000-0002-0000-0000-000003000000}"/>
    <dataValidation type="whole" imeMode="halfAlpha" allowBlank="1" showInputMessage="1" showErrorMessage="1" sqref="B5 L2" xr:uid="{00000000-0002-0000-0000-000004000000}">
      <formula1>1</formula1>
      <formula2>3</formula2>
    </dataValidation>
    <dataValidation type="textLength" imeMode="hiragana" operator="lessThanOrEqual" allowBlank="1" showInputMessage="1" showErrorMessage="1" sqref="O27:P27 L27" xr:uid="{00000000-0002-0000-0000-000005000000}">
      <formula1>32</formula1>
    </dataValidation>
    <dataValidation type="textLength" imeMode="hiragana" operator="lessThanOrEqual" allowBlank="1" showInputMessage="1" showErrorMessage="1" sqref="L28 O28" xr:uid="{00000000-0002-0000-0000-000006000000}">
      <formula1>24</formula1>
    </dataValidation>
    <dataValidation type="textLength" imeMode="halfAlpha" operator="lessThanOrEqual" allowBlank="1" showInputMessage="1" showErrorMessage="1" sqref="B2 B18" xr:uid="{00000000-0002-0000-0000-000007000000}">
      <formula1>10</formula1>
    </dataValidation>
    <dataValidation type="whole" imeMode="halfAlpha" operator="lessThanOrEqual" allowBlank="1" showInputMessage="1" showErrorMessage="1" sqref="D5" xr:uid="{00000000-0002-0000-0000-000008000000}">
      <formula1>64</formula1>
    </dataValidation>
    <dataValidation type="whole" imeMode="halfAlpha" allowBlank="1" showInputMessage="1" showErrorMessage="1" sqref="B4" xr:uid="{00000000-0002-0000-0000-000009000000}">
      <formula1>1</formula1>
      <formula2>2</formula2>
    </dataValidation>
    <dataValidation type="whole" imeMode="halfAlpha" allowBlank="1" showInputMessage="1" showErrorMessage="1" sqref="B15" xr:uid="{00000000-0002-0000-0000-00000A000000}">
      <formula1>4</formula1>
      <formula2>5</formula2>
    </dataValidation>
    <dataValidation type="whole" imeMode="halfAlpha" operator="lessThanOrEqual" allowBlank="1" showInputMessage="1" showErrorMessage="1" sqref="D15" xr:uid="{00000000-0002-0000-0000-00000B000000}">
      <formula1>31</formula1>
    </dataValidation>
    <dataValidation type="custom" imeMode="hiragana" allowBlank="1" showInputMessage="1" showErrorMessage="1" sqref="B10" xr:uid="{00000000-0002-0000-0000-00000C000000}">
      <formula1>B9&lt;&gt;"なし"</formula1>
    </dataValidation>
    <dataValidation type="custom" imeMode="halfAlpha" showInputMessage="1" showErrorMessage="1" sqref="L11:L14 L17:L25 L5:L7" xr:uid="{00000000-0002-0000-0000-00000D000000}">
      <formula1>OR($L$2=1,$L$2=2)</formula1>
    </dataValidation>
    <dataValidation type="custom" imeMode="halfAlpha" showInputMessage="1" showErrorMessage="1" sqref="L15:L16 L8:L10" xr:uid="{00000000-0002-0000-0000-00000E000000}">
      <formula1>$L$2=1</formula1>
    </dataValidation>
    <dataValidation type="textLength" imeMode="hiragana" operator="lessThanOrEqual" allowBlank="1" showInputMessage="1" showErrorMessage="1" sqref="A45:F52 W3" xr:uid="{00000000-0002-0000-0000-00000F000000}">
      <formula1>240</formula1>
    </dataValidation>
    <dataValidation type="textLength" imeMode="hiragana" operator="lessThanOrEqual" allowBlank="1" showInputMessage="1" showErrorMessage="1" sqref="W13:AB22 W25:AB32 W35:AB42 W45:AB52" xr:uid="{00000000-0002-0000-0000-000010000000}">
      <formula1>120</formula1>
    </dataValidation>
    <dataValidation type="textLength" imeMode="halfAlpha" operator="lessThanOrEqual" allowBlank="1" showInputMessage="1" showErrorMessage="1" sqref="B16" xr:uid="{00000000-0002-0000-0000-000011000000}">
      <formula1>8</formula1>
    </dataValidation>
    <dataValidation type="custom" imeMode="halfAlpha" allowBlank="1" showInputMessage="1" showErrorMessage="1" sqref="B11" xr:uid="{00000000-0002-0000-0000-000012000000}">
      <formula1>B10&lt;&gt;"なし"</formula1>
    </dataValidation>
  </dataValidations>
  <pageMargins left="0.70866141732283472" right="0" top="0.35433070866141736" bottom="0" header="0.31496062992125984" footer="0.31496062992125984"/>
  <pageSetup paperSize="8" scale="6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3000000}">
          <x14:formula1>
            <xm:f>計算シート!$U$19:$U$31</xm:f>
          </x14:formula1>
          <xm:sqref>L4</xm:sqref>
        </x14:dataValidation>
        <x14:dataValidation type="list" allowBlank="1" showInputMessage="1" showErrorMessage="1" xr:uid="{00000000-0002-0000-0000-000014000000}">
          <x14:formula1>
            <xm:f>計算シート!$Q$19:$Q$21</xm:f>
          </x14:formula1>
          <xm:sqref>L3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2:E29"/>
  <sheetViews>
    <sheetView showGridLines="0" workbookViewId="0">
      <selection activeCell="B4" sqref="B4"/>
    </sheetView>
  </sheetViews>
  <sheetFormatPr defaultColWidth="9" defaultRowHeight="13.5" x14ac:dyDescent="0.15"/>
  <cols>
    <col min="1" max="16384" width="9" style="136"/>
  </cols>
  <sheetData>
    <row r="2" spans="2:2" x14ac:dyDescent="0.15">
      <c r="B2" s="136" t="s">
        <v>364</v>
      </c>
    </row>
    <row r="3" spans="2:2" ht="6" customHeight="1" x14ac:dyDescent="0.15">
      <c r="B3" s="137"/>
    </row>
    <row r="4" spans="2:2" ht="15" x14ac:dyDescent="0.15">
      <c r="B4" s="161" t="str">
        <f>VLOOKUP(計算シート!D78,計算シート!$A$80:$B$83,2,FALSE)</f>
        <v>入力誤りが残っています！！赤色シートで内容を確認し，黄色シートの該当箇所を必ず訂正してください。</v>
      </c>
    </row>
    <row r="13" spans="2:2" x14ac:dyDescent="0.15">
      <c r="B13" s="136" t="s">
        <v>365</v>
      </c>
    </row>
    <row r="14" spans="2:2" ht="6" customHeight="1" x14ac:dyDescent="0.15">
      <c r="B14" s="137"/>
    </row>
    <row r="15" spans="2:2" ht="17.25" customHeight="1" x14ac:dyDescent="0.15">
      <c r="B15" s="161" t="str">
        <f>IF(OR(計算シート!$D$78=0,計算シート!$D$78=1),"①「特記事項」のシート全体をコピーして，Wordを開いて貼り付けてください。","")</f>
        <v/>
      </c>
    </row>
    <row r="16" spans="2:2" ht="15" x14ac:dyDescent="0.15">
      <c r="B16" s="161" t="str">
        <f>IF(OR(計算シート!$D$78=0,計算シート!$D$78=1),"②Wordを開いた状態で「F7」ボタンを押してください。","")</f>
        <v/>
      </c>
    </row>
    <row r="17" spans="2:5" ht="15" x14ac:dyDescent="0.15">
      <c r="B17" s="161" t="str">
        <f>IF(OR(計算シート!$D$78=0,計算シート!$D$78=1),"③校正箇所があれば内容を確認し，必要に応じて黄色シートの該当箇所を訂正してください。","")</f>
        <v/>
      </c>
    </row>
    <row r="25" spans="2:5" x14ac:dyDescent="0.15">
      <c r="B25" s="136" t="s">
        <v>369</v>
      </c>
    </row>
    <row r="26" spans="2:5" ht="6" customHeight="1" x14ac:dyDescent="0.15">
      <c r="B26" s="137"/>
    </row>
    <row r="27" spans="2:5" ht="17.25" customHeight="1" x14ac:dyDescent="0.15">
      <c r="B27" s="161" t="str">
        <f>IF(B15&lt;&gt;"","青色シートを印刷してください。","")</f>
        <v/>
      </c>
    </row>
    <row r="28" spans="2:5" ht="17.25" customHeight="1" x14ac:dyDescent="0.15">
      <c r="B28" s="161" t="str">
        <f>IF(B15&lt;&gt;"","「訪問調査票」はＡ４片面で３枚です。","")</f>
        <v/>
      </c>
    </row>
    <row r="29" spans="2:5" ht="17.25" customHeight="1" x14ac:dyDescent="0.15">
      <c r="B29" s="161" t="str">
        <f>IF(B15&lt;&gt;"","「特記事項」はＡ４片面で","")</f>
        <v/>
      </c>
      <c r="E29" s="161" t="str">
        <f>IF(B15="","",""&amp;計算シート!$A$65&amp;"枚です。")</f>
        <v/>
      </c>
    </row>
  </sheetData>
  <sheetProtection algorithmName="SHA-512" hashValue="x0ot4iZ2yzIBgFeDwQBJ0Cp/8s/1U++p2TrvO1chOFlOFkz3/ABN0OFKX8wgtleq/myCl/5qaXQWb/HnZgFPow==" saltValue="MdWPn7kaivfHbRqmRqG4DA==" spinCount="100000" sheet="1" selectLockedCells="1" selectUnlockedCells="1"/>
  <phoneticPr fontId="1"/>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F0"/>
  </sheetPr>
  <dimension ref="A1"/>
  <sheetViews>
    <sheetView view="pageBreakPreview" zoomScaleNormal="100" zoomScaleSheetLayoutView="100" workbookViewId="0">
      <selection activeCell="N29" sqref="N29"/>
    </sheetView>
  </sheetViews>
  <sheetFormatPr defaultRowHeight="13.5" x14ac:dyDescent="0.15"/>
  <cols>
    <col min="13" max="13" width="9.5" bestFit="1" customWidth="1"/>
  </cols>
  <sheetData/>
  <sheetProtection algorithmName="SHA-512" hashValue="JG0HzXTFEXGO7xtJkMKtyoMb8XvNmE30zIpl7o0aYdXs129/f6cKZJWqRNPwtS+CQhlETr5dLgg9iRg2/iEcCg==" saltValue="CW4mEzT5hXdePIhoiiTyAQ==" spinCount="100000" sheet="1" objects="1" scenarios="1" selectLockedCells="1" selectUnlockedCells="1"/>
  <phoneticPr fontId="1"/>
  <pageMargins left="0" right="0" top="0" bottom="0"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AU88"/>
  <sheetViews>
    <sheetView view="pageBreakPreview" zoomScaleNormal="85" zoomScaleSheetLayoutView="100" workbookViewId="0">
      <selection activeCell="AO48" sqref="AO48:AU52"/>
    </sheetView>
  </sheetViews>
  <sheetFormatPr defaultRowHeight="10.5" customHeight="1" x14ac:dyDescent="0.15"/>
  <cols>
    <col min="1" max="1" width="0.25" style="165" customWidth="1"/>
    <col min="2" max="2" width="4.25" style="3" customWidth="1"/>
    <col min="3" max="4" width="9.375" style="3" customWidth="1"/>
    <col min="5" max="7" width="6.875" style="3" customWidth="1"/>
    <col min="8" max="8" width="13.125" style="3" customWidth="1"/>
    <col min="9" max="9" width="4.25" style="3" customWidth="1"/>
    <col min="10" max="11" width="9.375" style="3" customWidth="1"/>
    <col min="12" max="14" width="6.875" style="3" customWidth="1"/>
    <col min="15" max="15" width="13.125" style="3" customWidth="1"/>
    <col min="16" max="16" width="0.875" style="3" customWidth="1"/>
    <col min="17" max="17" width="0.125" style="165" customWidth="1"/>
    <col min="18" max="18" width="4.25" style="3" customWidth="1"/>
    <col min="19" max="20" width="9.375" style="3" customWidth="1"/>
    <col min="21" max="23" width="8.375" style="3" customWidth="1"/>
    <col min="24" max="24" width="8.625" style="3" customWidth="1"/>
    <col min="25" max="25" width="4.25" style="3" customWidth="1"/>
    <col min="26" max="27" width="9.375" style="3" customWidth="1"/>
    <col min="28" max="30" width="8.375" style="3" customWidth="1"/>
    <col min="31" max="31" width="8.625" style="3" customWidth="1"/>
    <col min="32" max="32" width="0.875" style="3" customWidth="1"/>
    <col min="33" max="33" width="0.125" style="165" customWidth="1"/>
    <col min="34" max="34" width="4.25" style="3" customWidth="1"/>
    <col min="35" max="36" width="9.375" style="3" customWidth="1"/>
    <col min="37" max="39" width="8.375" style="3" customWidth="1"/>
    <col min="40" max="40" width="8.625" style="3" customWidth="1"/>
    <col min="41" max="41" width="4.25" style="3" customWidth="1"/>
    <col min="42" max="43" width="9.375" style="3" customWidth="1"/>
    <col min="44" max="46" width="8.375" style="3" customWidth="1"/>
    <col min="47" max="47" width="8.625" style="3" customWidth="1"/>
    <col min="48" max="48" width="1.375" style="3" customWidth="1"/>
    <col min="49" max="227" width="9" style="3"/>
    <col min="228" max="228" width="11.25" style="3" customWidth="1"/>
    <col min="229" max="238" width="9" style="3"/>
    <col min="239" max="239" width="11.25" style="3" customWidth="1"/>
    <col min="240" max="249" width="9" style="3"/>
    <col min="250" max="250" width="11.25" style="3" customWidth="1"/>
    <col min="251" max="260" width="9" style="3"/>
    <col min="261" max="261" width="11.25" style="3" customWidth="1"/>
    <col min="262" max="483" width="9" style="3"/>
    <col min="484" max="484" width="11.25" style="3" customWidth="1"/>
    <col min="485" max="494" width="9" style="3"/>
    <col min="495" max="495" width="11.25" style="3" customWidth="1"/>
    <col min="496" max="505" width="9" style="3"/>
    <col min="506" max="506" width="11.25" style="3" customWidth="1"/>
    <col min="507" max="516" width="9" style="3"/>
    <col min="517" max="517" width="11.25" style="3" customWidth="1"/>
    <col min="518" max="739" width="9" style="3"/>
    <col min="740" max="740" width="11.25" style="3" customWidth="1"/>
    <col min="741" max="750" width="9" style="3"/>
    <col min="751" max="751" width="11.25" style="3" customWidth="1"/>
    <col min="752" max="761" width="9" style="3"/>
    <col min="762" max="762" width="11.25" style="3" customWidth="1"/>
    <col min="763" max="772" width="9" style="3"/>
    <col min="773" max="773" width="11.25" style="3" customWidth="1"/>
    <col min="774" max="995" width="9" style="3"/>
    <col min="996" max="996" width="11.25" style="3" customWidth="1"/>
    <col min="997" max="1006" width="9" style="3"/>
    <col min="1007" max="1007" width="11.25" style="3" customWidth="1"/>
    <col min="1008" max="1017" width="9" style="3"/>
    <col min="1018" max="1018" width="11.25" style="3" customWidth="1"/>
    <col min="1019" max="1028" width="9" style="3"/>
    <col min="1029" max="1029" width="11.25" style="3" customWidth="1"/>
    <col min="1030" max="1251" width="9" style="3"/>
    <col min="1252" max="1252" width="11.25" style="3" customWidth="1"/>
    <col min="1253" max="1262" width="9" style="3"/>
    <col min="1263" max="1263" width="11.25" style="3" customWidth="1"/>
    <col min="1264" max="1273" width="9" style="3"/>
    <col min="1274" max="1274" width="11.25" style="3" customWidth="1"/>
    <col min="1275" max="1284" width="9" style="3"/>
    <col min="1285" max="1285" width="11.25" style="3" customWidth="1"/>
    <col min="1286" max="1507" width="9" style="3"/>
    <col min="1508" max="1508" width="11.25" style="3" customWidth="1"/>
    <col min="1509" max="1518" width="9" style="3"/>
    <col min="1519" max="1519" width="11.25" style="3" customWidth="1"/>
    <col min="1520" max="1529" width="9" style="3"/>
    <col min="1530" max="1530" width="11.25" style="3" customWidth="1"/>
    <col min="1531" max="1540" width="9" style="3"/>
    <col min="1541" max="1541" width="11.25" style="3" customWidth="1"/>
    <col min="1542" max="1763" width="9" style="3"/>
    <col min="1764" max="1764" width="11.25" style="3" customWidth="1"/>
    <col min="1765" max="1774" width="9" style="3"/>
    <col min="1775" max="1775" width="11.25" style="3" customWidth="1"/>
    <col min="1776" max="1785" width="9" style="3"/>
    <col min="1786" max="1786" width="11.25" style="3" customWidth="1"/>
    <col min="1787" max="1796" width="9" style="3"/>
    <col min="1797" max="1797" width="11.25" style="3" customWidth="1"/>
    <col min="1798" max="2019" width="9" style="3"/>
    <col min="2020" max="2020" width="11.25" style="3" customWidth="1"/>
    <col min="2021" max="2030" width="9" style="3"/>
    <col min="2031" max="2031" width="11.25" style="3" customWidth="1"/>
    <col min="2032" max="2041" width="9" style="3"/>
    <col min="2042" max="2042" width="11.25" style="3" customWidth="1"/>
    <col min="2043" max="2052" width="9" style="3"/>
    <col min="2053" max="2053" width="11.25" style="3" customWidth="1"/>
    <col min="2054" max="2275" width="9" style="3"/>
    <col min="2276" max="2276" width="11.25" style="3" customWidth="1"/>
    <col min="2277" max="2286" width="9" style="3"/>
    <col min="2287" max="2287" width="11.25" style="3" customWidth="1"/>
    <col min="2288" max="2297" width="9" style="3"/>
    <col min="2298" max="2298" width="11.25" style="3" customWidth="1"/>
    <col min="2299" max="2308" width="9" style="3"/>
    <col min="2309" max="2309" width="11.25" style="3" customWidth="1"/>
    <col min="2310" max="2531" width="9" style="3"/>
    <col min="2532" max="2532" width="11.25" style="3" customWidth="1"/>
    <col min="2533" max="2542" width="9" style="3"/>
    <col min="2543" max="2543" width="11.25" style="3" customWidth="1"/>
    <col min="2544" max="2553" width="9" style="3"/>
    <col min="2554" max="2554" width="11.25" style="3" customWidth="1"/>
    <col min="2555" max="2564" width="9" style="3"/>
    <col min="2565" max="2565" width="11.25" style="3" customWidth="1"/>
    <col min="2566" max="2787" width="9" style="3"/>
    <col min="2788" max="2788" width="11.25" style="3" customWidth="1"/>
    <col min="2789" max="2798" width="9" style="3"/>
    <col min="2799" max="2799" width="11.25" style="3" customWidth="1"/>
    <col min="2800" max="2809" width="9" style="3"/>
    <col min="2810" max="2810" width="11.25" style="3" customWidth="1"/>
    <col min="2811" max="2820" width="9" style="3"/>
    <col min="2821" max="2821" width="11.25" style="3" customWidth="1"/>
    <col min="2822" max="3043" width="9" style="3"/>
    <col min="3044" max="3044" width="11.25" style="3" customWidth="1"/>
    <col min="3045" max="3054" width="9" style="3"/>
    <col min="3055" max="3055" width="11.25" style="3" customWidth="1"/>
    <col min="3056" max="3065" width="9" style="3"/>
    <col min="3066" max="3066" width="11.25" style="3" customWidth="1"/>
    <col min="3067" max="3076" width="9" style="3"/>
    <col min="3077" max="3077" width="11.25" style="3" customWidth="1"/>
    <col min="3078" max="3299" width="9" style="3"/>
    <col min="3300" max="3300" width="11.25" style="3" customWidth="1"/>
    <col min="3301" max="3310" width="9" style="3"/>
    <col min="3311" max="3311" width="11.25" style="3" customWidth="1"/>
    <col min="3312" max="3321" width="9" style="3"/>
    <col min="3322" max="3322" width="11.25" style="3" customWidth="1"/>
    <col min="3323" max="3332" width="9" style="3"/>
    <col min="3333" max="3333" width="11.25" style="3" customWidth="1"/>
    <col min="3334" max="3555" width="9" style="3"/>
    <col min="3556" max="3556" width="11.25" style="3" customWidth="1"/>
    <col min="3557" max="3566" width="9" style="3"/>
    <col min="3567" max="3567" width="11.25" style="3" customWidth="1"/>
    <col min="3568" max="3577" width="9" style="3"/>
    <col min="3578" max="3578" width="11.25" style="3" customWidth="1"/>
    <col min="3579" max="3588" width="9" style="3"/>
    <col min="3589" max="3589" width="11.25" style="3" customWidth="1"/>
    <col min="3590" max="3811" width="9" style="3"/>
    <col min="3812" max="3812" width="11.25" style="3" customWidth="1"/>
    <col min="3813" max="3822" width="9" style="3"/>
    <col min="3823" max="3823" width="11.25" style="3" customWidth="1"/>
    <col min="3824" max="3833" width="9" style="3"/>
    <col min="3834" max="3834" width="11.25" style="3" customWidth="1"/>
    <col min="3835" max="3844" width="9" style="3"/>
    <col min="3845" max="3845" width="11.25" style="3" customWidth="1"/>
    <col min="3846" max="4067" width="9" style="3"/>
    <col min="4068" max="4068" width="11.25" style="3" customWidth="1"/>
    <col min="4069" max="4078" width="9" style="3"/>
    <col min="4079" max="4079" width="11.25" style="3" customWidth="1"/>
    <col min="4080" max="4089" width="9" style="3"/>
    <col min="4090" max="4090" width="11.25" style="3" customWidth="1"/>
    <col min="4091" max="4100" width="9" style="3"/>
    <col min="4101" max="4101" width="11.25" style="3" customWidth="1"/>
    <col min="4102" max="4323" width="9" style="3"/>
    <col min="4324" max="4324" width="11.25" style="3" customWidth="1"/>
    <col min="4325" max="4334" width="9" style="3"/>
    <col min="4335" max="4335" width="11.25" style="3" customWidth="1"/>
    <col min="4336" max="4345" width="9" style="3"/>
    <col min="4346" max="4346" width="11.25" style="3" customWidth="1"/>
    <col min="4347" max="4356" width="9" style="3"/>
    <col min="4357" max="4357" width="11.25" style="3" customWidth="1"/>
    <col min="4358" max="4579" width="9" style="3"/>
    <col min="4580" max="4580" width="11.25" style="3" customWidth="1"/>
    <col min="4581" max="4590" width="9" style="3"/>
    <col min="4591" max="4591" width="11.25" style="3" customWidth="1"/>
    <col min="4592" max="4601" width="9" style="3"/>
    <col min="4602" max="4602" width="11.25" style="3" customWidth="1"/>
    <col min="4603" max="4612" width="9" style="3"/>
    <col min="4613" max="4613" width="11.25" style="3" customWidth="1"/>
    <col min="4614" max="4835" width="9" style="3"/>
    <col min="4836" max="4836" width="11.25" style="3" customWidth="1"/>
    <col min="4837" max="4846" width="9" style="3"/>
    <col min="4847" max="4847" width="11.25" style="3" customWidth="1"/>
    <col min="4848" max="4857" width="9" style="3"/>
    <col min="4858" max="4858" width="11.25" style="3" customWidth="1"/>
    <col min="4859" max="4868" width="9" style="3"/>
    <col min="4869" max="4869" width="11.25" style="3" customWidth="1"/>
    <col min="4870" max="5091" width="9" style="3"/>
    <col min="5092" max="5092" width="11.25" style="3" customWidth="1"/>
    <col min="5093" max="5102" width="9" style="3"/>
    <col min="5103" max="5103" width="11.25" style="3" customWidth="1"/>
    <col min="5104" max="5113" width="9" style="3"/>
    <col min="5114" max="5114" width="11.25" style="3" customWidth="1"/>
    <col min="5115" max="5124" width="9" style="3"/>
    <col min="5125" max="5125" width="11.25" style="3" customWidth="1"/>
    <col min="5126" max="5347" width="9" style="3"/>
    <col min="5348" max="5348" width="11.25" style="3" customWidth="1"/>
    <col min="5349" max="5358" width="9" style="3"/>
    <col min="5359" max="5359" width="11.25" style="3" customWidth="1"/>
    <col min="5360" max="5369" width="9" style="3"/>
    <col min="5370" max="5370" width="11.25" style="3" customWidth="1"/>
    <col min="5371" max="5380" width="9" style="3"/>
    <col min="5381" max="5381" width="11.25" style="3" customWidth="1"/>
    <col min="5382" max="5603" width="9" style="3"/>
    <col min="5604" max="5604" width="11.25" style="3" customWidth="1"/>
    <col min="5605" max="5614" width="9" style="3"/>
    <col min="5615" max="5615" width="11.25" style="3" customWidth="1"/>
    <col min="5616" max="5625" width="9" style="3"/>
    <col min="5626" max="5626" width="11.25" style="3" customWidth="1"/>
    <col min="5627" max="5636" width="9" style="3"/>
    <col min="5637" max="5637" width="11.25" style="3" customWidth="1"/>
    <col min="5638" max="5859" width="9" style="3"/>
    <col min="5860" max="5860" width="11.25" style="3" customWidth="1"/>
    <col min="5861" max="5870" width="9" style="3"/>
    <col min="5871" max="5871" width="11.25" style="3" customWidth="1"/>
    <col min="5872" max="5881" width="9" style="3"/>
    <col min="5882" max="5882" width="11.25" style="3" customWidth="1"/>
    <col min="5883" max="5892" width="9" style="3"/>
    <col min="5893" max="5893" width="11.25" style="3" customWidth="1"/>
    <col min="5894" max="6115" width="9" style="3"/>
    <col min="6116" max="6116" width="11.25" style="3" customWidth="1"/>
    <col min="6117" max="6126" width="9" style="3"/>
    <col min="6127" max="6127" width="11.25" style="3" customWidth="1"/>
    <col min="6128" max="6137" width="9" style="3"/>
    <col min="6138" max="6138" width="11.25" style="3" customWidth="1"/>
    <col min="6139" max="6148" width="9" style="3"/>
    <col min="6149" max="6149" width="11.25" style="3" customWidth="1"/>
    <col min="6150" max="6371" width="9" style="3"/>
    <col min="6372" max="6372" width="11.25" style="3" customWidth="1"/>
    <col min="6373" max="6382" width="9" style="3"/>
    <col min="6383" max="6383" width="11.25" style="3" customWidth="1"/>
    <col min="6384" max="6393" width="9" style="3"/>
    <col min="6394" max="6394" width="11.25" style="3" customWidth="1"/>
    <col min="6395" max="6404" width="9" style="3"/>
    <col min="6405" max="6405" width="11.25" style="3" customWidth="1"/>
    <col min="6406" max="6627" width="9" style="3"/>
    <col min="6628" max="6628" width="11.25" style="3" customWidth="1"/>
    <col min="6629" max="6638" width="9" style="3"/>
    <col min="6639" max="6639" width="11.25" style="3" customWidth="1"/>
    <col min="6640" max="6649" width="9" style="3"/>
    <col min="6650" max="6650" width="11.25" style="3" customWidth="1"/>
    <col min="6651" max="6660" width="9" style="3"/>
    <col min="6661" max="6661" width="11.25" style="3" customWidth="1"/>
    <col min="6662" max="6883" width="9" style="3"/>
    <col min="6884" max="6884" width="11.25" style="3" customWidth="1"/>
    <col min="6885" max="6894" width="9" style="3"/>
    <col min="6895" max="6895" width="11.25" style="3" customWidth="1"/>
    <col min="6896" max="6905" width="9" style="3"/>
    <col min="6906" max="6906" width="11.25" style="3" customWidth="1"/>
    <col min="6907" max="6916" width="9" style="3"/>
    <col min="6917" max="6917" width="11.25" style="3" customWidth="1"/>
    <col min="6918" max="7139" width="9" style="3"/>
    <col min="7140" max="7140" width="11.25" style="3" customWidth="1"/>
    <col min="7141" max="7150" width="9" style="3"/>
    <col min="7151" max="7151" width="11.25" style="3" customWidth="1"/>
    <col min="7152" max="7161" width="9" style="3"/>
    <col min="7162" max="7162" width="11.25" style="3" customWidth="1"/>
    <col min="7163" max="7172" width="9" style="3"/>
    <col min="7173" max="7173" width="11.25" style="3" customWidth="1"/>
    <col min="7174" max="7395" width="9" style="3"/>
    <col min="7396" max="7396" width="11.25" style="3" customWidth="1"/>
    <col min="7397" max="7406" width="9" style="3"/>
    <col min="7407" max="7407" width="11.25" style="3" customWidth="1"/>
    <col min="7408" max="7417" width="9" style="3"/>
    <col min="7418" max="7418" width="11.25" style="3" customWidth="1"/>
    <col min="7419" max="7428" width="9" style="3"/>
    <col min="7429" max="7429" width="11.25" style="3" customWidth="1"/>
    <col min="7430" max="7651" width="9" style="3"/>
    <col min="7652" max="7652" width="11.25" style="3" customWidth="1"/>
    <col min="7653" max="7662" width="9" style="3"/>
    <col min="7663" max="7663" width="11.25" style="3" customWidth="1"/>
    <col min="7664" max="7673" width="9" style="3"/>
    <col min="7674" max="7674" width="11.25" style="3" customWidth="1"/>
    <col min="7675" max="7684" width="9" style="3"/>
    <col min="7685" max="7685" width="11.25" style="3" customWidth="1"/>
    <col min="7686" max="7907" width="9" style="3"/>
    <col min="7908" max="7908" width="11.25" style="3" customWidth="1"/>
    <col min="7909" max="7918" width="9" style="3"/>
    <col min="7919" max="7919" width="11.25" style="3" customWidth="1"/>
    <col min="7920" max="7929" width="9" style="3"/>
    <col min="7930" max="7930" width="11.25" style="3" customWidth="1"/>
    <col min="7931" max="7940" width="9" style="3"/>
    <col min="7941" max="7941" width="11.25" style="3" customWidth="1"/>
    <col min="7942" max="8163" width="9" style="3"/>
    <col min="8164" max="8164" width="11.25" style="3" customWidth="1"/>
    <col min="8165" max="8174" width="9" style="3"/>
    <col min="8175" max="8175" width="11.25" style="3" customWidth="1"/>
    <col min="8176" max="8185" width="9" style="3"/>
    <col min="8186" max="8186" width="11.25" style="3" customWidth="1"/>
    <col min="8187" max="8196" width="9" style="3"/>
    <col min="8197" max="8197" width="11.25" style="3" customWidth="1"/>
    <col min="8198" max="8419" width="9" style="3"/>
    <col min="8420" max="8420" width="11.25" style="3" customWidth="1"/>
    <col min="8421" max="8430" width="9" style="3"/>
    <col min="8431" max="8431" width="11.25" style="3" customWidth="1"/>
    <col min="8432" max="8441" width="9" style="3"/>
    <col min="8442" max="8442" width="11.25" style="3" customWidth="1"/>
    <col min="8443" max="8452" width="9" style="3"/>
    <col min="8453" max="8453" width="11.25" style="3" customWidth="1"/>
    <col min="8454" max="8675" width="9" style="3"/>
    <col min="8676" max="8676" width="11.25" style="3" customWidth="1"/>
    <col min="8677" max="8686" width="9" style="3"/>
    <col min="8687" max="8687" width="11.25" style="3" customWidth="1"/>
    <col min="8688" max="8697" width="9" style="3"/>
    <col min="8698" max="8698" width="11.25" style="3" customWidth="1"/>
    <col min="8699" max="8708" width="9" style="3"/>
    <col min="8709" max="8709" width="11.25" style="3" customWidth="1"/>
    <col min="8710" max="8931" width="9" style="3"/>
    <col min="8932" max="8932" width="11.25" style="3" customWidth="1"/>
    <col min="8933" max="8942" width="9" style="3"/>
    <col min="8943" max="8943" width="11.25" style="3" customWidth="1"/>
    <col min="8944" max="8953" width="9" style="3"/>
    <col min="8954" max="8954" width="11.25" style="3" customWidth="1"/>
    <col min="8955" max="8964" width="9" style="3"/>
    <col min="8965" max="8965" width="11.25" style="3" customWidth="1"/>
    <col min="8966" max="9187" width="9" style="3"/>
    <col min="9188" max="9188" width="11.25" style="3" customWidth="1"/>
    <col min="9189" max="9198" width="9" style="3"/>
    <col min="9199" max="9199" width="11.25" style="3" customWidth="1"/>
    <col min="9200" max="9209" width="9" style="3"/>
    <col min="9210" max="9210" width="11.25" style="3" customWidth="1"/>
    <col min="9211" max="9220" width="9" style="3"/>
    <col min="9221" max="9221" width="11.25" style="3" customWidth="1"/>
    <col min="9222" max="9443" width="9" style="3"/>
    <col min="9444" max="9444" width="11.25" style="3" customWidth="1"/>
    <col min="9445" max="9454" width="9" style="3"/>
    <col min="9455" max="9455" width="11.25" style="3" customWidth="1"/>
    <col min="9456" max="9465" width="9" style="3"/>
    <col min="9466" max="9466" width="11.25" style="3" customWidth="1"/>
    <col min="9467" max="9476" width="9" style="3"/>
    <col min="9477" max="9477" width="11.25" style="3" customWidth="1"/>
    <col min="9478" max="9699" width="9" style="3"/>
    <col min="9700" max="9700" width="11.25" style="3" customWidth="1"/>
    <col min="9701" max="9710" width="9" style="3"/>
    <col min="9711" max="9711" width="11.25" style="3" customWidth="1"/>
    <col min="9712" max="9721" width="9" style="3"/>
    <col min="9722" max="9722" width="11.25" style="3" customWidth="1"/>
    <col min="9723" max="9732" width="9" style="3"/>
    <col min="9733" max="9733" width="11.25" style="3" customWidth="1"/>
    <col min="9734" max="9955" width="9" style="3"/>
    <col min="9956" max="9956" width="11.25" style="3" customWidth="1"/>
    <col min="9957" max="9966" width="9" style="3"/>
    <col min="9967" max="9967" width="11.25" style="3" customWidth="1"/>
    <col min="9968" max="9977" width="9" style="3"/>
    <col min="9978" max="9978" width="11.25" style="3" customWidth="1"/>
    <col min="9979" max="9988" width="9" style="3"/>
    <col min="9989" max="9989" width="11.25" style="3" customWidth="1"/>
    <col min="9990" max="10211" width="9" style="3"/>
    <col min="10212" max="10212" width="11.25" style="3" customWidth="1"/>
    <col min="10213" max="10222" width="9" style="3"/>
    <col min="10223" max="10223" width="11.25" style="3" customWidth="1"/>
    <col min="10224" max="10233" width="9" style="3"/>
    <col min="10234" max="10234" width="11.25" style="3" customWidth="1"/>
    <col min="10235" max="10244" width="9" style="3"/>
    <col min="10245" max="10245" width="11.25" style="3" customWidth="1"/>
    <col min="10246" max="10467" width="9" style="3"/>
    <col min="10468" max="10468" width="11.25" style="3" customWidth="1"/>
    <col min="10469" max="10478" width="9" style="3"/>
    <col min="10479" max="10479" width="11.25" style="3" customWidth="1"/>
    <col min="10480" max="10489" width="9" style="3"/>
    <col min="10490" max="10490" width="11.25" style="3" customWidth="1"/>
    <col min="10491" max="10500" width="9" style="3"/>
    <col min="10501" max="10501" width="11.25" style="3" customWidth="1"/>
    <col min="10502" max="10723" width="9" style="3"/>
    <col min="10724" max="10724" width="11.25" style="3" customWidth="1"/>
    <col min="10725" max="10734" width="9" style="3"/>
    <col min="10735" max="10735" width="11.25" style="3" customWidth="1"/>
    <col min="10736" max="10745" width="9" style="3"/>
    <col min="10746" max="10746" width="11.25" style="3" customWidth="1"/>
    <col min="10747" max="10756" width="9" style="3"/>
    <col min="10757" max="10757" width="11.25" style="3" customWidth="1"/>
    <col min="10758" max="10979" width="9" style="3"/>
    <col min="10980" max="10980" width="11.25" style="3" customWidth="1"/>
    <col min="10981" max="10990" width="9" style="3"/>
    <col min="10991" max="10991" width="11.25" style="3" customWidth="1"/>
    <col min="10992" max="11001" width="9" style="3"/>
    <col min="11002" max="11002" width="11.25" style="3" customWidth="1"/>
    <col min="11003" max="11012" width="9" style="3"/>
    <col min="11013" max="11013" width="11.25" style="3" customWidth="1"/>
    <col min="11014" max="11235" width="9" style="3"/>
    <col min="11236" max="11236" width="11.25" style="3" customWidth="1"/>
    <col min="11237" max="11246" width="9" style="3"/>
    <col min="11247" max="11247" width="11.25" style="3" customWidth="1"/>
    <col min="11248" max="11257" width="9" style="3"/>
    <col min="11258" max="11258" width="11.25" style="3" customWidth="1"/>
    <col min="11259" max="11268" width="9" style="3"/>
    <col min="11269" max="11269" width="11.25" style="3" customWidth="1"/>
    <col min="11270" max="11491" width="9" style="3"/>
    <col min="11492" max="11492" width="11.25" style="3" customWidth="1"/>
    <col min="11493" max="11502" width="9" style="3"/>
    <col min="11503" max="11503" width="11.25" style="3" customWidth="1"/>
    <col min="11504" max="11513" width="9" style="3"/>
    <col min="11514" max="11514" width="11.25" style="3" customWidth="1"/>
    <col min="11515" max="11524" width="9" style="3"/>
    <col min="11525" max="11525" width="11.25" style="3" customWidth="1"/>
    <col min="11526" max="11747" width="9" style="3"/>
    <col min="11748" max="11748" width="11.25" style="3" customWidth="1"/>
    <col min="11749" max="11758" width="9" style="3"/>
    <col min="11759" max="11759" width="11.25" style="3" customWidth="1"/>
    <col min="11760" max="11769" width="9" style="3"/>
    <col min="11770" max="11770" width="11.25" style="3" customWidth="1"/>
    <col min="11771" max="11780" width="9" style="3"/>
    <col min="11781" max="11781" width="11.25" style="3" customWidth="1"/>
    <col min="11782" max="12003" width="9" style="3"/>
    <col min="12004" max="12004" width="11.25" style="3" customWidth="1"/>
    <col min="12005" max="12014" width="9" style="3"/>
    <col min="12015" max="12015" width="11.25" style="3" customWidth="1"/>
    <col min="12016" max="12025" width="9" style="3"/>
    <col min="12026" max="12026" width="11.25" style="3" customWidth="1"/>
    <col min="12027" max="12036" width="9" style="3"/>
    <col min="12037" max="12037" width="11.25" style="3" customWidth="1"/>
    <col min="12038" max="12259" width="9" style="3"/>
    <col min="12260" max="12260" width="11.25" style="3" customWidth="1"/>
    <col min="12261" max="12270" width="9" style="3"/>
    <col min="12271" max="12271" width="11.25" style="3" customWidth="1"/>
    <col min="12272" max="12281" width="9" style="3"/>
    <col min="12282" max="12282" width="11.25" style="3" customWidth="1"/>
    <col min="12283" max="12292" width="9" style="3"/>
    <col min="12293" max="12293" width="11.25" style="3" customWidth="1"/>
    <col min="12294" max="12515" width="9" style="3"/>
    <col min="12516" max="12516" width="11.25" style="3" customWidth="1"/>
    <col min="12517" max="12526" width="9" style="3"/>
    <col min="12527" max="12527" width="11.25" style="3" customWidth="1"/>
    <col min="12528" max="12537" width="9" style="3"/>
    <col min="12538" max="12538" width="11.25" style="3" customWidth="1"/>
    <col min="12539" max="12548" width="9" style="3"/>
    <col min="12549" max="12549" width="11.25" style="3" customWidth="1"/>
    <col min="12550" max="12771" width="9" style="3"/>
    <col min="12772" max="12772" width="11.25" style="3" customWidth="1"/>
    <col min="12773" max="12782" width="9" style="3"/>
    <col min="12783" max="12783" width="11.25" style="3" customWidth="1"/>
    <col min="12784" max="12793" width="9" style="3"/>
    <col min="12794" max="12794" width="11.25" style="3" customWidth="1"/>
    <col min="12795" max="12804" width="9" style="3"/>
    <col min="12805" max="12805" width="11.25" style="3" customWidth="1"/>
    <col min="12806" max="13027" width="9" style="3"/>
    <col min="13028" max="13028" width="11.25" style="3" customWidth="1"/>
    <col min="13029" max="13038" width="9" style="3"/>
    <col min="13039" max="13039" width="11.25" style="3" customWidth="1"/>
    <col min="13040" max="13049" width="9" style="3"/>
    <col min="13050" max="13050" width="11.25" style="3" customWidth="1"/>
    <col min="13051" max="13060" width="9" style="3"/>
    <col min="13061" max="13061" width="11.25" style="3" customWidth="1"/>
    <col min="13062" max="13283" width="9" style="3"/>
    <col min="13284" max="13284" width="11.25" style="3" customWidth="1"/>
    <col min="13285" max="13294" width="9" style="3"/>
    <col min="13295" max="13295" width="11.25" style="3" customWidth="1"/>
    <col min="13296" max="13305" width="9" style="3"/>
    <col min="13306" max="13306" width="11.25" style="3" customWidth="1"/>
    <col min="13307" max="13316" width="9" style="3"/>
    <col min="13317" max="13317" width="11.25" style="3" customWidth="1"/>
    <col min="13318" max="13539" width="9" style="3"/>
    <col min="13540" max="13540" width="11.25" style="3" customWidth="1"/>
    <col min="13541" max="13550" width="9" style="3"/>
    <col min="13551" max="13551" width="11.25" style="3" customWidth="1"/>
    <col min="13552" max="13561" width="9" style="3"/>
    <col min="13562" max="13562" width="11.25" style="3" customWidth="1"/>
    <col min="13563" max="13572" width="9" style="3"/>
    <col min="13573" max="13573" width="11.25" style="3" customWidth="1"/>
    <col min="13574" max="13795" width="9" style="3"/>
    <col min="13796" max="13796" width="11.25" style="3" customWidth="1"/>
    <col min="13797" max="13806" width="9" style="3"/>
    <col min="13807" max="13807" width="11.25" style="3" customWidth="1"/>
    <col min="13808" max="13817" width="9" style="3"/>
    <col min="13818" max="13818" width="11.25" style="3" customWidth="1"/>
    <col min="13819" max="13828" width="9" style="3"/>
    <col min="13829" max="13829" width="11.25" style="3" customWidth="1"/>
    <col min="13830" max="14051" width="9" style="3"/>
    <col min="14052" max="14052" width="11.25" style="3" customWidth="1"/>
    <col min="14053" max="14062" width="9" style="3"/>
    <col min="14063" max="14063" width="11.25" style="3" customWidth="1"/>
    <col min="14064" max="14073" width="9" style="3"/>
    <col min="14074" max="14074" width="11.25" style="3" customWidth="1"/>
    <col min="14075" max="14084" width="9" style="3"/>
    <col min="14085" max="14085" width="11.25" style="3" customWidth="1"/>
    <col min="14086" max="14307" width="9" style="3"/>
    <col min="14308" max="14308" width="11.25" style="3" customWidth="1"/>
    <col min="14309" max="14318" width="9" style="3"/>
    <col min="14319" max="14319" width="11.25" style="3" customWidth="1"/>
    <col min="14320" max="14329" width="9" style="3"/>
    <col min="14330" max="14330" width="11.25" style="3" customWidth="1"/>
    <col min="14331" max="14340" width="9" style="3"/>
    <col min="14341" max="14341" width="11.25" style="3" customWidth="1"/>
    <col min="14342" max="14563" width="9" style="3"/>
    <col min="14564" max="14564" width="11.25" style="3" customWidth="1"/>
    <col min="14565" max="14574" width="9" style="3"/>
    <col min="14575" max="14575" width="11.25" style="3" customWidth="1"/>
    <col min="14576" max="14585" width="9" style="3"/>
    <col min="14586" max="14586" width="11.25" style="3" customWidth="1"/>
    <col min="14587" max="14596" width="9" style="3"/>
    <col min="14597" max="14597" width="11.25" style="3" customWidth="1"/>
    <col min="14598" max="14819" width="9" style="3"/>
    <col min="14820" max="14820" width="11.25" style="3" customWidth="1"/>
    <col min="14821" max="14830" width="9" style="3"/>
    <col min="14831" max="14831" width="11.25" style="3" customWidth="1"/>
    <col min="14832" max="14841" width="9" style="3"/>
    <col min="14842" max="14842" width="11.25" style="3" customWidth="1"/>
    <col min="14843" max="14852" width="9" style="3"/>
    <col min="14853" max="14853" width="11.25" style="3" customWidth="1"/>
    <col min="14854" max="15075" width="9" style="3"/>
    <col min="15076" max="15076" width="11.25" style="3" customWidth="1"/>
    <col min="15077" max="15086" width="9" style="3"/>
    <col min="15087" max="15087" width="11.25" style="3" customWidth="1"/>
    <col min="15088" max="15097" width="9" style="3"/>
    <col min="15098" max="15098" width="11.25" style="3" customWidth="1"/>
    <col min="15099" max="15108" width="9" style="3"/>
    <col min="15109" max="15109" width="11.25" style="3" customWidth="1"/>
    <col min="15110" max="15331" width="9" style="3"/>
    <col min="15332" max="15332" width="11.25" style="3" customWidth="1"/>
    <col min="15333" max="15342" width="9" style="3"/>
    <col min="15343" max="15343" width="11.25" style="3" customWidth="1"/>
    <col min="15344" max="15353" width="9" style="3"/>
    <col min="15354" max="15354" width="11.25" style="3" customWidth="1"/>
    <col min="15355" max="15364" width="9" style="3"/>
    <col min="15365" max="15365" width="11.25" style="3" customWidth="1"/>
    <col min="15366" max="15587" width="9" style="3"/>
    <col min="15588" max="15588" width="11.25" style="3" customWidth="1"/>
    <col min="15589" max="15598" width="9" style="3"/>
    <col min="15599" max="15599" width="11.25" style="3" customWidth="1"/>
    <col min="15600" max="15609" width="9" style="3"/>
    <col min="15610" max="15610" width="11.25" style="3" customWidth="1"/>
    <col min="15611" max="15620" width="9" style="3"/>
    <col min="15621" max="15621" width="11.25" style="3" customWidth="1"/>
    <col min="15622" max="15843" width="9" style="3"/>
    <col min="15844" max="15844" width="11.25" style="3" customWidth="1"/>
    <col min="15845" max="15854" width="9" style="3"/>
    <col min="15855" max="15855" width="11.25" style="3" customWidth="1"/>
    <col min="15856" max="15865" width="9" style="3"/>
    <col min="15866" max="15866" width="11.25" style="3" customWidth="1"/>
    <col min="15867" max="15876" width="9" style="3"/>
    <col min="15877" max="15877" width="11.25" style="3" customWidth="1"/>
    <col min="15878" max="16099" width="9" style="3"/>
    <col min="16100" max="16100" width="11.25" style="3" customWidth="1"/>
    <col min="16101" max="16110" width="9" style="3"/>
    <col min="16111" max="16111" width="11.25" style="3" customWidth="1"/>
    <col min="16112" max="16121" width="9" style="3"/>
    <col min="16122" max="16122" width="11.25" style="3" customWidth="1"/>
    <col min="16123" max="16132" width="9" style="3"/>
    <col min="16133" max="16133" width="11.25" style="3" customWidth="1"/>
    <col min="16134" max="16384" width="9" style="3"/>
  </cols>
  <sheetData>
    <row r="1" spans="1:47" ht="13.5" customHeight="1" x14ac:dyDescent="0.2">
      <c r="B1" s="1"/>
      <c r="C1" s="1"/>
      <c r="D1" s="2"/>
      <c r="E1" s="344" t="s">
        <v>20</v>
      </c>
      <c r="F1" s="344"/>
      <c r="G1" s="344"/>
      <c r="H1" s="344"/>
      <c r="I1" s="344"/>
      <c r="J1" s="344"/>
      <c r="K1" s="344"/>
      <c r="M1" s="159" t="s">
        <v>428</v>
      </c>
      <c r="N1" s="339">
        <f>基本情報!$B$2</f>
        <v>0</v>
      </c>
      <c r="O1" s="339"/>
      <c r="R1" s="1"/>
      <c r="S1" s="1"/>
      <c r="T1" s="2"/>
      <c r="U1" s="344" t="s">
        <v>20</v>
      </c>
      <c r="V1" s="344"/>
      <c r="W1" s="344"/>
      <c r="X1" s="344"/>
      <c r="Y1" s="344"/>
      <c r="Z1" s="344"/>
      <c r="AA1" s="344"/>
      <c r="AC1" s="159" t="s">
        <v>421</v>
      </c>
      <c r="AD1" s="339">
        <f>基本情報!$B$2</f>
        <v>0</v>
      </c>
      <c r="AE1" s="339"/>
      <c r="AH1" s="1"/>
      <c r="AI1" s="1"/>
      <c r="AJ1" s="2"/>
      <c r="AK1" s="344" t="s">
        <v>20</v>
      </c>
      <c r="AL1" s="344"/>
      <c r="AM1" s="344"/>
      <c r="AN1" s="344"/>
      <c r="AO1" s="344"/>
      <c r="AP1" s="344"/>
      <c r="AQ1" s="344"/>
      <c r="AS1" s="159" t="s">
        <v>421</v>
      </c>
      <c r="AT1" s="339">
        <f>基本情報!$B$2</f>
        <v>0</v>
      </c>
      <c r="AU1" s="339"/>
    </row>
    <row r="2" spans="1:47" ht="15" customHeight="1" x14ac:dyDescent="0.2">
      <c r="B2" s="1"/>
      <c r="C2" s="1"/>
      <c r="D2" s="4"/>
      <c r="E2" s="345"/>
      <c r="F2" s="345"/>
      <c r="G2" s="345"/>
      <c r="H2" s="345"/>
      <c r="I2" s="345"/>
      <c r="J2" s="345"/>
      <c r="K2" s="345"/>
      <c r="M2" s="159" t="s">
        <v>422</v>
      </c>
      <c r="N2" s="340">
        <f>基本情報!$B$3</f>
        <v>0</v>
      </c>
      <c r="O2" s="340"/>
      <c r="R2" s="1"/>
      <c r="S2" s="1"/>
      <c r="T2" s="4"/>
      <c r="U2" s="345"/>
      <c r="V2" s="345"/>
      <c r="W2" s="345"/>
      <c r="X2" s="345"/>
      <c r="Y2" s="345"/>
      <c r="Z2" s="345"/>
      <c r="AA2" s="345"/>
      <c r="AC2" s="159" t="s">
        <v>422</v>
      </c>
      <c r="AD2" s="340">
        <f>基本情報!$B$3</f>
        <v>0</v>
      </c>
      <c r="AE2" s="340"/>
      <c r="AH2" s="1"/>
      <c r="AI2" s="1"/>
      <c r="AJ2" s="4"/>
      <c r="AK2" s="345"/>
      <c r="AL2" s="345"/>
      <c r="AM2" s="345"/>
      <c r="AN2" s="345"/>
      <c r="AO2" s="345"/>
      <c r="AP2" s="345"/>
      <c r="AQ2" s="345"/>
      <c r="AS2" s="159" t="s">
        <v>422</v>
      </c>
      <c r="AT2" s="340">
        <f>基本情報!$B$3</f>
        <v>0</v>
      </c>
      <c r="AU2" s="340"/>
    </row>
    <row r="3" spans="1:47" s="199" customFormat="1" ht="18" customHeight="1" x14ac:dyDescent="0.15">
      <c r="A3" s="197"/>
      <c r="B3" s="198" t="s">
        <v>21</v>
      </c>
      <c r="C3" s="341" t="s">
        <v>22</v>
      </c>
      <c r="D3" s="342"/>
      <c r="E3" s="343" t="s">
        <v>23</v>
      </c>
      <c r="F3" s="343"/>
      <c r="G3" s="343"/>
      <c r="H3" s="343"/>
      <c r="I3" s="343"/>
      <c r="J3" s="343"/>
      <c r="K3" s="343"/>
      <c r="L3" s="343"/>
      <c r="M3" s="343"/>
      <c r="N3" s="343"/>
      <c r="O3" s="343"/>
      <c r="Q3" s="197"/>
      <c r="R3" s="198" t="s">
        <v>21</v>
      </c>
      <c r="S3" s="341" t="s">
        <v>22</v>
      </c>
      <c r="T3" s="342"/>
      <c r="U3" s="343" t="s">
        <v>23</v>
      </c>
      <c r="V3" s="343"/>
      <c r="W3" s="343"/>
      <c r="X3" s="343"/>
      <c r="Y3" s="343"/>
      <c r="Z3" s="343"/>
      <c r="AA3" s="343"/>
      <c r="AB3" s="343"/>
      <c r="AC3" s="343"/>
      <c r="AD3" s="343"/>
      <c r="AE3" s="343"/>
      <c r="AG3" s="197"/>
      <c r="AH3" s="198" t="s">
        <v>21</v>
      </c>
      <c r="AI3" s="341" t="s">
        <v>22</v>
      </c>
      <c r="AJ3" s="342"/>
      <c r="AK3" s="343" t="s">
        <v>23</v>
      </c>
      <c r="AL3" s="343"/>
      <c r="AM3" s="343"/>
      <c r="AN3" s="343"/>
      <c r="AO3" s="343"/>
      <c r="AP3" s="343"/>
      <c r="AQ3" s="343"/>
      <c r="AR3" s="343"/>
      <c r="AS3" s="343"/>
      <c r="AT3" s="343"/>
      <c r="AU3" s="343"/>
    </row>
    <row r="4" spans="1:47" s="196" customFormat="1" ht="9" customHeight="1" x14ac:dyDescent="0.15">
      <c r="A4" s="195"/>
      <c r="B4" s="346" t="str">
        <f>IF(計算シート!$M$78&gt;=1,1,"")</f>
        <v/>
      </c>
      <c r="C4" s="324" t="str">
        <f>IF(B4="","",INDEX(計算シート!$E$2:$M$77,MATCH(B4,計算シート!$E$2:$E$77,0),2))</f>
        <v/>
      </c>
      <c r="D4" s="326"/>
      <c r="E4" s="348" t="str">
        <f>IF(B4="","",INDEX(計算シート!$E$2:$M$77,MATCH(B4,計算シート!$E$2:$E$77,0),3))</f>
        <v/>
      </c>
      <c r="F4" s="349"/>
      <c r="G4" s="349"/>
      <c r="H4" s="349"/>
      <c r="I4" s="349"/>
      <c r="J4" s="349"/>
      <c r="K4" s="349"/>
      <c r="L4" s="349"/>
      <c r="M4" s="349"/>
      <c r="N4" s="349"/>
      <c r="O4" s="350"/>
      <c r="Q4" s="195"/>
      <c r="R4" s="322" t="str">
        <f>IF(計算シート!$M$78&gt;=24,24,"")</f>
        <v/>
      </c>
      <c r="S4" s="322" t="str">
        <f>IF(R4="","",INDEX(計算シート!$E$2:$M$77,MATCH(R4,計算シート!$E$2:$E$77,0),2))</f>
        <v/>
      </c>
      <c r="T4" s="322"/>
      <c r="U4" s="322" t="str">
        <f>IF(R4="","",INDEX(計算シート!$E$2:$M$77,MATCH(R4,計算シート!$E$2:$E$77,0),3))</f>
        <v/>
      </c>
      <c r="V4" s="322"/>
      <c r="W4" s="322"/>
      <c r="X4" s="322"/>
      <c r="Y4" s="322" t="str">
        <f>IF(計算シート!$M$78&gt;=36,36,"")</f>
        <v/>
      </c>
      <c r="Z4" s="322" t="str">
        <f>IF(Y4="","",INDEX(計算シート!$E$2:$M$77,MATCH(Y4,計算シート!$E$2:$E$77,0),2))</f>
        <v/>
      </c>
      <c r="AA4" s="322"/>
      <c r="AB4" s="322" t="str">
        <f>IF(Y4="","",INDEX(計算シート!$E$2:$M$77,MATCH(Y4,計算シート!$E$2:$E$77,0),3))</f>
        <v/>
      </c>
      <c r="AC4" s="322"/>
      <c r="AD4" s="322"/>
      <c r="AE4" s="322"/>
      <c r="AG4" s="195"/>
      <c r="AH4" s="322" t="str">
        <f>IF(計算シート!$M$78&gt;=48,48,"")</f>
        <v/>
      </c>
      <c r="AI4" s="322" t="str">
        <f>IF(AH4="","",INDEX(計算シート!$E$2:$M$77,MATCH(AH4,計算シート!$E$2:$E$77,0),2))</f>
        <v/>
      </c>
      <c r="AJ4" s="322"/>
      <c r="AK4" s="322" t="str">
        <f>IF(AH4="","",INDEX(計算シート!$E$2:$M$77,MATCH(AH4,計算シート!$E$2:$E$77,0),3))</f>
        <v/>
      </c>
      <c r="AL4" s="322"/>
      <c r="AM4" s="322"/>
      <c r="AN4" s="322"/>
      <c r="AO4" s="322" t="str">
        <f>IF(計算シート!$M$78&gt;=60,60,"")</f>
        <v/>
      </c>
      <c r="AP4" s="322" t="str">
        <f>IF(AO4="","",INDEX(計算シート!$E$2:$M$77,MATCH(AO4,計算シート!$E$2:$E$77,0),2))</f>
        <v/>
      </c>
      <c r="AQ4" s="322"/>
      <c r="AR4" s="322" t="str">
        <f>IF(AO4="","",INDEX(計算シート!$E$2:$M$77,MATCH(AO4,計算シート!$E$2:$E$77,0),3))</f>
        <v/>
      </c>
      <c r="AS4" s="322"/>
      <c r="AT4" s="322"/>
      <c r="AU4" s="322"/>
    </row>
    <row r="5" spans="1:47" s="196" customFormat="1" ht="9" customHeight="1" x14ac:dyDescent="0.15">
      <c r="A5" s="195"/>
      <c r="B5" s="347"/>
      <c r="C5" s="327"/>
      <c r="D5" s="329"/>
      <c r="E5" s="351"/>
      <c r="F5" s="352"/>
      <c r="G5" s="352"/>
      <c r="H5" s="352"/>
      <c r="I5" s="352"/>
      <c r="J5" s="352"/>
      <c r="K5" s="352"/>
      <c r="L5" s="352"/>
      <c r="M5" s="352"/>
      <c r="N5" s="352"/>
      <c r="O5" s="353"/>
      <c r="Q5" s="195"/>
      <c r="R5" s="322"/>
      <c r="S5" s="322"/>
      <c r="T5" s="322"/>
      <c r="U5" s="322"/>
      <c r="V5" s="322"/>
      <c r="W5" s="322"/>
      <c r="X5" s="322"/>
      <c r="Y5" s="322"/>
      <c r="Z5" s="322"/>
      <c r="AA5" s="322"/>
      <c r="AB5" s="322"/>
      <c r="AC5" s="322"/>
      <c r="AD5" s="322"/>
      <c r="AE5" s="322"/>
      <c r="AG5" s="195"/>
      <c r="AH5" s="322"/>
      <c r="AI5" s="322"/>
      <c r="AJ5" s="322"/>
      <c r="AK5" s="322"/>
      <c r="AL5" s="322"/>
      <c r="AM5" s="322"/>
      <c r="AN5" s="322"/>
      <c r="AO5" s="322"/>
      <c r="AP5" s="322"/>
      <c r="AQ5" s="322"/>
      <c r="AR5" s="322"/>
      <c r="AS5" s="322"/>
      <c r="AT5" s="322"/>
      <c r="AU5" s="322"/>
    </row>
    <row r="6" spans="1:47" s="196" customFormat="1" ht="11.25" customHeight="1" x14ac:dyDescent="0.15">
      <c r="A6" s="195"/>
      <c r="B6" s="330" t="str">
        <f>IF(B4="","",INDEX(計算シート!$E$2:$M$77,MATCH(B4,計算シート!$E$2:$E$77,0),9))</f>
        <v/>
      </c>
      <c r="C6" s="331"/>
      <c r="D6" s="331"/>
      <c r="E6" s="331"/>
      <c r="F6" s="331"/>
      <c r="G6" s="331"/>
      <c r="H6" s="331"/>
      <c r="I6" s="331"/>
      <c r="J6" s="331"/>
      <c r="K6" s="331"/>
      <c r="L6" s="331"/>
      <c r="M6" s="331"/>
      <c r="N6" s="331"/>
      <c r="O6" s="332"/>
      <c r="Q6" s="195"/>
      <c r="R6" s="330" t="str">
        <f>IF(R4="","",INDEX(計算シート!$E$2:$M$77,MATCH(R4,計算シート!$E$2:$E$77,0),9))</f>
        <v/>
      </c>
      <c r="S6" s="331"/>
      <c r="T6" s="331"/>
      <c r="U6" s="331"/>
      <c r="V6" s="331"/>
      <c r="W6" s="331"/>
      <c r="X6" s="332"/>
      <c r="Y6" s="330" t="str">
        <f>IF(Y4="","",INDEX(計算シート!$E$2:$M$77,MATCH(Y4,計算シート!$E$2:$E$77,0),9))</f>
        <v/>
      </c>
      <c r="Z6" s="331"/>
      <c r="AA6" s="331"/>
      <c r="AB6" s="331"/>
      <c r="AC6" s="331"/>
      <c r="AD6" s="331"/>
      <c r="AE6" s="332"/>
      <c r="AG6" s="195"/>
      <c r="AH6" s="330" t="str">
        <f>IF(AH4="","",INDEX(計算シート!$E$2:$M$77,MATCH(AH4,計算シート!$E$2:$E$77,0),9))</f>
        <v/>
      </c>
      <c r="AI6" s="331"/>
      <c r="AJ6" s="331"/>
      <c r="AK6" s="331"/>
      <c r="AL6" s="331"/>
      <c r="AM6" s="331"/>
      <c r="AN6" s="332"/>
      <c r="AO6" s="330" t="str">
        <f>IF(AO4="","",INDEX(計算シート!$E$2:$M$77,MATCH(AO4,計算シート!$E$2:$E$77,0),9))</f>
        <v/>
      </c>
      <c r="AP6" s="331"/>
      <c r="AQ6" s="331"/>
      <c r="AR6" s="331"/>
      <c r="AS6" s="331"/>
      <c r="AT6" s="331"/>
      <c r="AU6" s="332"/>
    </row>
    <row r="7" spans="1:47" s="196" customFormat="1" ht="11.25" customHeight="1" x14ac:dyDescent="0.15">
      <c r="A7" s="195"/>
      <c r="B7" s="333"/>
      <c r="C7" s="334"/>
      <c r="D7" s="334"/>
      <c r="E7" s="334"/>
      <c r="F7" s="334"/>
      <c r="G7" s="334"/>
      <c r="H7" s="334"/>
      <c r="I7" s="334"/>
      <c r="J7" s="334"/>
      <c r="K7" s="334"/>
      <c r="L7" s="334"/>
      <c r="M7" s="334"/>
      <c r="N7" s="334"/>
      <c r="O7" s="335"/>
      <c r="Q7" s="195"/>
      <c r="R7" s="333"/>
      <c r="S7" s="334"/>
      <c r="T7" s="334"/>
      <c r="U7" s="334"/>
      <c r="V7" s="334"/>
      <c r="W7" s="334"/>
      <c r="X7" s="335"/>
      <c r="Y7" s="333"/>
      <c r="Z7" s="334"/>
      <c r="AA7" s="334"/>
      <c r="AB7" s="334"/>
      <c r="AC7" s="334"/>
      <c r="AD7" s="334"/>
      <c r="AE7" s="335"/>
      <c r="AG7" s="195"/>
      <c r="AH7" s="333"/>
      <c r="AI7" s="334"/>
      <c r="AJ7" s="334"/>
      <c r="AK7" s="334"/>
      <c r="AL7" s="334"/>
      <c r="AM7" s="334"/>
      <c r="AN7" s="335"/>
      <c r="AO7" s="333"/>
      <c r="AP7" s="334"/>
      <c r="AQ7" s="334"/>
      <c r="AR7" s="334"/>
      <c r="AS7" s="334"/>
      <c r="AT7" s="334"/>
      <c r="AU7" s="335"/>
    </row>
    <row r="8" spans="1:47" s="196" customFormat="1" ht="11.25" customHeight="1" x14ac:dyDescent="0.15">
      <c r="A8" s="195"/>
      <c r="B8" s="333"/>
      <c r="C8" s="334"/>
      <c r="D8" s="334"/>
      <c r="E8" s="334"/>
      <c r="F8" s="334"/>
      <c r="G8" s="334"/>
      <c r="H8" s="334"/>
      <c r="I8" s="334"/>
      <c r="J8" s="334"/>
      <c r="K8" s="334"/>
      <c r="L8" s="334"/>
      <c r="M8" s="334"/>
      <c r="N8" s="334"/>
      <c r="O8" s="335"/>
      <c r="Q8" s="195"/>
      <c r="R8" s="333"/>
      <c r="S8" s="334"/>
      <c r="T8" s="334"/>
      <c r="U8" s="334"/>
      <c r="V8" s="334"/>
      <c r="W8" s="334"/>
      <c r="X8" s="335"/>
      <c r="Y8" s="333"/>
      <c r="Z8" s="334"/>
      <c r="AA8" s="334"/>
      <c r="AB8" s="334"/>
      <c r="AC8" s="334"/>
      <c r="AD8" s="334"/>
      <c r="AE8" s="335"/>
      <c r="AG8" s="195"/>
      <c r="AH8" s="333"/>
      <c r="AI8" s="334"/>
      <c r="AJ8" s="334"/>
      <c r="AK8" s="334"/>
      <c r="AL8" s="334"/>
      <c r="AM8" s="334"/>
      <c r="AN8" s="335"/>
      <c r="AO8" s="333"/>
      <c r="AP8" s="334"/>
      <c r="AQ8" s="334"/>
      <c r="AR8" s="334"/>
      <c r="AS8" s="334"/>
      <c r="AT8" s="334"/>
      <c r="AU8" s="335"/>
    </row>
    <row r="9" spans="1:47" s="196" customFormat="1" ht="11.25" customHeight="1" x14ac:dyDescent="0.15">
      <c r="A9" s="195"/>
      <c r="B9" s="333"/>
      <c r="C9" s="334"/>
      <c r="D9" s="334"/>
      <c r="E9" s="334"/>
      <c r="F9" s="334"/>
      <c r="G9" s="334"/>
      <c r="H9" s="334"/>
      <c r="I9" s="334"/>
      <c r="J9" s="334"/>
      <c r="K9" s="334"/>
      <c r="L9" s="334"/>
      <c r="M9" s="334"/>
      <c r="N9" s="334"/>
      <c r="O9" s="335"/>
      <c r="Q9" s="195"/>
      <c r="R9" s="333"/>
      <c r="S9" s="334"/>
      <c r="T9" s="334"/>
      <c r="U9" s="334"/>
      <c r="V9" s="334"/>
      <c r="W9" s="334"/>
      <c r="X9" s="335"/>
      <c r="Y9" s="333"/>
      <c r="Z9" s="334"/>
      <c r="AA9" s="334"/>
      <c r="AB9" s="334"/>
      <c r="AC9" s="334"/>
      <c r="AD9" s="334"/>
      <c r="AE9" s="335"/>
      <c r="AG9" s="195"/>
      <c r="AH9" s="333"/>
      <c r="AI9" s="334"/>
      <c r="AJ9" s="334"/>
      <c r="AK9" s="334"/>
      <c r="AL9" s="334"/>
      <c r="AM9" s="334"/>
      <c r="AN9" s="335"/>
      <c r="AO9" s="333"/>
      <c r="AP9" s="334"/>
      <c r="AQ9" s="334"/>
      <c r="AR9" s="334"/>
      <c r="AS9" s="334"/>
      <c r="AT9" s="334"/>
      <c r="AU9" s="335"/>
    </row>
    <row r="10" spans="1:47" s="196" customFormat="1" ht="11.25" customHeight="1" x14ac:dyDescent="0.15">
      <c r="A10" s="195"/>
      <c r="B10" s="336"/>
      <c r="C10" s="337"/>
      <c r="D10" s="337"/>
      <c r="E10" s="337"/>
      <c r="F10" s="337"/>
      <c r="G10" s="337"/>
      <c r="H10" s="337"/>
      <c r="I10" s="337"/>
      <c r="J10" s="337"/>
      <c r="K10" s="337"/>
      <c r="L10" s="337"/>
      <c r="M10" s="337"/>
      <c r="N10" s="337"/>
      <c r="O10" s="338"/>
      <c r="Q10" s="195"/>
      <c r="R10" s="336"/>
      <c r="S10" s="337"/>
      <c r="T10" s="337"/>
      <c r="U10" s="337"/>
      <c r="V10" s="337"/>
      <c r="W10" s="337"/>
      <c r="X10" s="338"/>
      <c r="Y10" s="336"/>
      <c r="Z10" s="337"/>
      <c r="AA10" s="337"/>
      <c r="AB10" s="337"/>
      <c r="AC10" s="337"/>
      <c r="AD10" s="337"/>
      <c r="AE10" s="338"/>
      <c r="AG10" s="195"/>
      <c r="AH10" s="336"/>
      <c r="AI10" s="337"/>
      <c r="AJ10" s="337"/>
      <c r="AK10" s="337"/>
      <c r="AL10" s="337"/>
      <c r="AM10" s="337"/>
      <c r="AN10" s="338"/>
      <c r="AO10" s="336"/>
      <c r="AP10" s="337"/>
      <c r="AQ10" s="337"/>
      <c r="AR10" s="337"/>
      <c r="AS10" s="337"/>
      <c r="AT10" s="337"/>
      <c r="AU10" s="338"/>
    </row>
    <row r="11" spans="1:47" s="196" customFormat="1" ht="9" customHeight="1" x14ac:dyDescent="0.15">
      <c r="A11" s="195"/>
      <c r="B11" s="322" t="str">
        <f>IF(計算シート!$M$78&gt;=2,2,"")</f>
        <v/>
      </c>
      <c r="C11" s="322" t="str">
        <f>IF(B11="","",INDEX(計算シート!$E$2:$M$77,MATCH(B11,計算シート!$E$2:$E$77,0),2))</f>
        <v/>
      </c>
      <c r="D11" s="322"/>
      <c r="E11" s="322" t="str">
        <f>IF(B11="","",INDEX(計算シート!$E$2:$M$77,MATCH(B11,計算シート!$E$2:$E$77,0),3))</f>
        <v/>
      </c>
      <c r="F11" s="322"/>
      <c r="G11" s="322"/>
      <c r="H11" s="322"/>
      <c r="I11" s="322" t="str">
        <f>IF(計算シート!$M$78&gt;=13,13,"")</f>
        <v/>
      </c>
      <c r="J11" s="322" t="str">
        <f>IF(I11="","",INDEX(計算シート!$E$2:$M$77,MATCH(I11,計算シート!$E$2:$E$77,0),2))</f>
        <v/>
      </c>
      <c r="K11" s="322"/>
      <c r="L11" s="322" t="str">
        <f>IF(I11="","",INDEX(計算シート!$E$2:$M$77,MATCH(I11,計算シート!$E$2:$E$77,0),3))</f>
        <v/>
      </c>
      <c r="M11" s="322"/>
      <c r="N11" s="322"/>
      <c r="O11" s="322"/>
      <c r="Q11" s="195"/>
      <c r="R11" s="322" t="str">
        <f>IF(計算シート!$M$78&gt;=25,25,"")</f>
        <v/>
      </c>
      <c r="S11" s="322" t="str">
        <f>IF(R11="","",INDEX(計算シート!$E$2:$M$77,MATCH(R11,計算シート!$E$2:$E$77,0),2))</f>
        <v/>
      </c>
      <c r="T11" s="322"/>
      <c r="U11" s="322" t="str">
        <f>IF(R11="","",INDEX(計算シート!$E$2:$M$77,MATCH(R11,計算シート!$E$2:$E$77,0),3))</f>
        <v/>
      </c>
      <c r="V11" s="322"/>
      <c r="W11" s="322"/>
      <c r="X11" s="322"/>
      <c r="Y11" s="322" t="str">
        <f>IF(計算シート!$M$78&gt;=37,37,"")</f>
        <v/>
      </c>
      <c r="Z11" s="322" t="str">
        <f>IF(Y11="","",INDEX(計算シート!$E$2:$M$77,MATCH(Y11,計算シート!$E$2:$E$77,0),2))</f>
        <v/>
      </c>
      <c r="AA11" s="322"/>
      <c r="AB11" s="322" t="str">
        <f>IF(Y11="","",INDEX(計算シート!$E$2:$M$77,MATCH(Y11,計算シート!$E$2:$E$77,0),3))</f>
        <v/>
      </c>
      <c r="AC11" s="322"/>
      <c r="AD11" s="322"/>
      <c r="AE11" s="322"/>
      <c r="AG11" s="195"/>
      <c r="AH11" s="322" t="str">
        <f>IF(計算シート!$M$78&gt;=49,49,"")</f>
        <v/>
      </c>
      <c r="AI11" s="322" t="str">
        <f>IF(AH11="","",INDEX(計算シート!$E$2:$M$77,MATCH(AH11,計算シート!$E$2:$E$77,0),2))</f>
        <v/>
      </c>
      <c r="AJ11" s="322"/>
      <c r="AK11" s="322" t="str">
        <f>IF(AH11="","",INDEX(計算シート!$E$2:$M$77,MATCH(AH11,計算シート!$E$2:$E$77,0),3))</f>
        <v/>
      </c>
      <c r="AL11" s="322"/>
      <c r="AM11" s="322"/>
      <c r="AN11" s="322"/>
      <c r="AO11" s="322" t="str">
        <f>IF(計算シート!$M$78&gt;=61,61,"")</f>
        <v/>
      </c>
      <c r="AP11" s="322" t="str">
        <f>IF(AO11="","",INDEX(計算シート!$E$2:$M$77,MATCH(AO11,計算シート!$E$2:$E$77,0),2))</f>
        <v/>
      </c>
      <c r="AQ11" s="322"/>
      <c r="AR11" s="322" t="str">
        <f>IF(AO11="","",INDEX(計算シート!$E$2:$M$77,MATCH(AO11,計算シート!$E$2:$E$77,0),3))</f>
        <v/>
      </c>
      <c r="AS11" s="322"/>
      <c r="AT11" s="322"/>
      <c r="AU11" s="322"/>
    </row>
    <row r="12" spans="1:47" s="196" customFormat="1" ht="9" customHeight="1" x14ac:dyDescent="0.15">
      <c r="A12" s="195"/>
      <c r="B12" s="322"/>
      <c r="C12" s="322"/>
      <c r="D12" s="322"/>
      <c r="E12" s="322"/>
      <c r="F12" s="322"/>
      <c r="G12" s="322"/>
      <c r="H12" s="322"/>
      <c r="I12" s="322"/>
      <c r="J12" s="322"/>
      <c r="K12" s="322"/>
      <c r="L12" s="322"/>
      <c r="M12" s="322"/>
      <c r="N12" s="322"/>
      <c r="O12" s="322"/>
      <c r="Q12" s="195"/>
      <c r="R12" s="322"/>
      <c r="S12" s="322"/>
      <c r="T12" s="322"/>
      <c r="U12" s="322"/>
      <c r="V12" s="322"/>
      <c r="W12" s="322"/>
      <c r="X12" s="322"/>
      <c r="Y12" s="322"/>
      <c r="Z12" s="322"/>
      <c r="AA12" s="322"/>
      <c r="AB12" s="322"/>
      <c r="AC12" s="322"/>
      <c r="AD12" s="322"/>
      <c r="AE12" s="322"/>
      <c r="AG12" s="195"/>
      <c r="AH12" s="322"/>
      <c r="AI12" s="322"/>
      <c r="AJ12" s="322"/>
      <c r="AK12" s="322"/>
      <c r="AL12" s="322"/>
      <c r="AM12" s="322"/>
      <c r="AN12" s="322"/>
      <c r="AO12" s="322"/>
      <c r="AP12" s="322"/>
      <c r="AQ12" s="322"/>
      <c r="AR12" s="322"/>
      <c r="AS12" s="322"/>
      <c r="AT12" s="322"/>
      <c r="AU12" s="322"/>
    </row>
    <row r="13" spans="1:47" s="196" customFormat="1" ht="11.25" customHeight="1" x14ac:dyDescent="0.15">
      <c r="A13" s="195"/>
      <c r="B13" s="323" t="str">
        <f>IF(B11="","",INDEX(計算シート!$E$2:$M$77,MATCH(B11,計算シート!$E$2:$E$77,0),9))</f>
        <v/>
      </c>
      <c r="C13" s="323"/>
      <c r="D13" s="323"/>
      <c r="E13" s="323"/>
      <c r="F13" s="323"/>
      <c r="G13" s="323"/>
      <c r="H13" s="323"/>
      <c r="I13" s="323" t="str">
        <f>IF(I11="","",INDEX(計算シート!$E$2:$M$77,MATCH(I11,計算シート!$E$2:$E$77,0),9))</f>
        <v/>
      </c>
      <c r="J13" s="323"/>
      <c r="K13" s="323"/>
      <c r="L13" s="323"/>
      <c r="M13" s="323"/>
      <c r="N13" s="323"/>
      <c r="O13" s="323"/>
      <c r="Q13" s="195"/>
      <c r="R13" s="323" t="str">
        <f>IF(R11="","",INDEX(計算シート!$E$2:$M$77,MATCH(R11,計算シート!$E$2:$E$77,0),9))</f>
        <v/>
      </c>
      <c r="S13" s="323"/>
      <c r="T13" s="323"/>
      <c r="U13" s="323"/>
      <c r="V13" s="323"/>
      <c r="W13" s="323"/>
      <c r="X13" s="323"/>
      <c r="Y13" s="323" t="str">
        <f>IF(Y11="","",INDEX(計算シート!$E$2:$M$77,MATCH(Y11,計算シート!$E$2:$E$77,0),9))</f>
        <v/>
      </c>
      <c r="Z13" s="323"/>
      <c r="AA13" s="323"/>
      <c r="AB13" s="323"/>
      <c r="AC13" s="323"/>
      <c r="AD13" s="323"/>
      <c r="AE13" s="323"/>
      <c r="AG13" s="195"/>
      <c r="AH13" s="323" t="str">
        <f>IF(AH11="","",INDEX(計算シート!$E$2:$M$77,MATCH(AH11,計算シート!$E$2:$E$77,0),9))</f>
        <v/>
      </c>
      <c r="AI13" s="323"/>
      <c r="AJ13" s="323"/>
      <c r="AK13" s="323"/>
      <c r="AL13" s="323"/>
      <c r="AM13" s="323"/>
      <c r="AN13" s="323"/>
      <c r="AO13" s="323" t="str">
        <f>IF(AO11="","",INDEX(計算シート!$E$2:$M$77,MATCH(AO11,計算シート!$E$2:$E$77,0),9))</f>
        <v/>
      </c>
      <c r="AP13" s="323"/>
      <c r="AQ13" s="323"/>
      <c r="AR13" s="323"/>
      <c r="AS13" s="323"/>
      <c r="AT13" s="323"/>
      <c r="AU13" s="323"/>
    </row>
    <row r="14" spans="1:47" s="196" customFormat="1" ht="11.25" customHeight="1" x14ac:dyDescent="0.15">
      <c r="A14" s="195"/>
      <c r="B14" s="323"/>
      <c r="C14" s="323"/>
      <c r="D14" s="323"/>
      <c r="E14" s="323"/>
      <c r="F14" s="323"/>
      <c r="G14" s="323"/>
      <c r="H14" s="323"/>
      <c r="I14" s="323"/>
      <c r="J14" s="323"/>
      <c r="K14" s="323"/>
      <c r="L14" s="323"/>
      <c r="M14" s="323"/>
      <c r="N14" s="323"/>
      <c r="O14" s="323"/>
      <c r="Q14" s="195"/>
      <c r="R14" s="323"/>
      <c r="S14" s="323"/>
      <c r="T14" s="323"/>
      <c r="U14" s="323"/>
      <c r="V14" s="323"/>
      <c r="W14" s="323"/>
      <c r="X14" s="323"/>
      <c r="Y14" s="323"/>
      <c r="Z14" s="323"/>
      <c r="AA14" s="323"/>
      <c r="AB14" s="323"/>
      <c r="AC14" s="323"/>
      <c r="AD14" s="323"/>
      <c r="AE14" s="323"/>
      <c r="AG14" s="195"/>
      <c r="AH14" s="323"/>
      <c r="AI14" s="323"/>
      <c r="AJ14" s="323"/>
      <c r="AK14" s="323"/>
      <c r="AL14" s="323"/>
      <c r="AM14" s="323"/>
      <c r="AN14" s="323"/>
      <c r="AO14" s="323"/>
      <c r="AP14" s="323"/>
      <c r="AQ14" s="323"/>
      <c r="AR14" s="323"/>
      <c r="AS14" s="323"/>
      <c r="AT14" s="323"/>
      <c r="AU14" s="323"/>
    </row>
    <row r="15" spans="1:47" s="196" customFormat="1" ht="11.25" customHeight="1" x14ac:dyDescent="0.15">
      <c r="A15" s="195"/>
      <c r="B15" s="323"/>
      <c r="C15" s="323"/>
      <c r="D15" s="323"/>
      <c r="E15" s="323"/>
      <c r="F15" s="323"/>
      <c r="G15" s="323"/>
      <c r="H15" s="323"/>
      <c r="I15" s="323"/>
      <c r="J15" s="323"/>
      <c r="K15" s="323"/>
      <c r="L15" s="323"/>
      <c r="M15" s="323"/>
      <c r="N15" s="323"/>
      <c r="O15" s="323"/>
      <c r="Q15" s="195"/>
      <c r="R15" s="323"/>
      <c r="S15" s="323"/>
      <c r="T15" s="323"/>
      <c r="U15" s="323"/>
      <c r="V15" s="323"/>
      <c r="W15" s="323"/>
      <c r="X15" s="323"/>
      <c r="Y15" s="323"/>
      <c r="Z15" s="323"/>
      <c r="AA15" s="323"/>
      <c r="AB15" s="323"/>
      <c r="AC15" s="323"/>
      <c r="AD15" s="323"/>
      <c r="AE15" s="323"/>
      <c r="AG15" s="195"/>
      <c r="AH15" s="323"/>
      <c r="AI15" s="323"/>
      <c r="AJ15" s="323"/>
      <c r="AK15" s="323"/>
      <c r="AL15" s="323"/>
      <c r="AM15" s="323"/>
      <c r="AN15" s="323"/>
      <c r="AO15" s="323"/>
      <c r="AP15" s="323"/>
      <c r="AQ15" s="323"/>
      <c r="AR15" s="323"/>
      <c r="AS15" s="323"/>
      <c r="AT15" s="323"/>
      <c r="AU15" s="323"/>
    </row>
    <row r="16" spans="1:47" s="196" customFormat="1" ht="11.25" customHeight="1" x14ac:dyDescent="0.15">
      <c r="A16" s="195"/>
      <c r="B16" s="323"/>
      <c r="C16" s="323"/>
      <c r="D16" s="323"/>
      <c r="E16" s="323"/>
      <c r="F16" s="323"/>
      <c r="G16" s="323"/>
      <c r="H16" s="323"/>
      <c r="I16" s="323"/>
      <c r="J16" s="323"/>
      <c r="K16" s="323"/>
      <c r="L16" s="323"/>
      <c r="M16" s="323"/>
      <c r="N16" s="323"/>
      <c r="O16" s="323"/>
      <c r="Q16" s="195"/>
      <c r="R16" s="323"/>
      <c r="S16" s="323"/>
      <c r="T16" s="323"/>
      <c r="U16" s="323"/>
      <c r="V16" s="323"/>
      <c r="W16" s="323"/>
      <c r="X16" s="323"/>
      <c r="Y16" s="323"/>
      <c r="Z16" s="323"/>
      <c r="AA16" s="323"/>
      <c r="AB16" s="323"/>
      <c r="AC16" s="323"/>
      <c r="AD16" s="323"/>
      <c r="AE16" s="323"/>
      <c r="AG16" s="195"/>
      <c r="AH16" s="323"/>
      <c r="AI16" s="323"/>
      <c r="AJ16" s="323"/>
      <c r="AK16" s="323"/>
      <c r="AL16" s="323"/>
      <c r="AM16" s="323"/>
      <c r="AN16" s="323"/>
      <c r="AO16" s="323"/>
      <c r="AP16" s="323"/>
      <c r="AQ16" s="323"/>
      <c r="AR16" s="323"/>
      <c r="AS16" s="323"/>
      <c r="AT16" s="323"/>
      <c r="AU16" s="323"/>
    </row>
    <row r="17" spans="1:47" s="196" customFormat="1" ht="11.25" customHeight="1" x14ac:dyDescent="0.15">
      <c r="A17" s="195"/>
      <c r="B17" s="323"/>
      <c r="C17" s="323"/>
      <c r="D17" s="323"/>
      <c r="E17" s="323"/>
      <c r="F17" s="323"/>
      <c r="G17" s="323"/>
      <c r="H17" s="323"/>
      <c r="I17" s="323"/>
      <c r="J17" s="323"/>
      <c r="K17" s="323"/>
      <c r="L17" s="323"/>
      <c r="M17" s="323"/>
      <c r="N17" s="323"/>
      <c r="O17" s="323"/>
      <c r="Q17" s="195"/>
      <c r="R17" s="323"/>
      <c r="S17" s="323"/>
      <c r="T17" s="323"/>
      <c r="U17" s="323"/>
      <c r="V17" s="323"/>
      <c r="W17" s="323"/>
      <c r="X17" s="323"/>
      <c r="Y17" s="323"/>
      <c r="Z17" s="323"/>
      <c r="AA17" s="323"/>
      <c r="AB17" s="323"/>
      <c r="AC17" s="323"/>
      <c r="AD17" s="323"/>
      <c r="AE17" s="323"/>
      <c r="AG17" s="195"/>
      <c r="AH17" s="323"/>
      <c r="AI17" s="323"/>
      <c r="AJ17" s="323"/>
      <c r="AK17" s="323"/>
      <c r="AL17" s="323"/>
      <c r="AM17" s="323"/>
      <c r="AN17" s="323"/>
      <c r="AO17" s="323"/>
      <c r="AP17" s="323"/>
      <c r="AQ17" s="323"/>
      <c r="AR17" s="323"/>
      <c r="AS17" s="323"/>
      <c r="AT17" s="323"/>
      <c r="AU17" s="323"/>
    </row>
    <row r="18" spans="1:47" s="196" customFormat="1" ht="9" customHeight="1" x14ac:dyDescent="0.15">
      <c r="A18" s="195"/>
      <c r="B18" s="346" t="str">
        <f>IF(計算シート!$M$78&gt;=3,3,"")</f>
        <v/>
      </c>
      <c r="C18" s="324" t="str">
        <f>IF(B18="","",INDEX(計算シート!$E$2:$M$77,MATCH(B18,計算シート!$E$2:$E$77,0),2))</f>
        <v/>
      </c>
      <c r="D18" s="326"/>
      <c r="E18" s="324" t="str">
        <f>IF(B18="","",INDEX(計算シート!$E$2:$M$77,MATCH(B18,計算シート!$E$2:$E$77,0),3))</f>
        <v/>
      </c>
      <c r="F18" s="325"/>
      <c r="G18" s="325"/>
      <c r="H18" s="326"/>
      <c r="I18" s="322" t="str">
        <f>IF(計算シート!$M$78&gt;=14,14,"")</f>
        <v/>
      </c>
      <c r="J18" s="324" t="str">
        <f>IF(I18="","",INDEX(計算シート!$E$2:$M$77,MATCH(I18,計算シート!$E$2:$E$77,0),2))</f>
        <v/>
      </c>
      <c r="K18" s="326"/>
      <c r="L18" s="324" t="str">
        <f>IF(I18="","",INDEX(計算シート!$E$2:$M$77,MATCH(I18,計算シート!$E$2:$E$77,0),3))</f>
        <v/>
      </c>
      <c r="M18" s="325"/>
      <c r="N18" s="325"/>
      <c r="O18" s="326"/>
      <c r="Q18" s="195"/>
      <c r="R18" s="322" t="str">
        <f>IF(計算シート!$M$78&gt;=26,26,"")</f>
        <v/>
      </c>
      <c r="S18" s="324" t="str">
        <f>IF(R18="","",INDEX(計算シート!$E$2:$M$77,MATCH(R18,計算シート!$E$2:$E$77,0),2))</f>
        <v/>
      </c>
      <c r="T18" s="326"/>
      <c r="U18" s="324" t="str">
        <f>IF(R18="","",INDEX(計算シート!$E$2:$M$77,MATCH(R18,計算シート!$E$2:$E$77,0),3))</f>
        <v/>
      </c>
      <c r="V18" s="325"/>
      <c r="W18" s="325"/>
      <c r="X18" s="326"/>
      <c r="Y18" s="322" t="str">
        <f>IF(計算シート!$M$78&gt;=38,38,"")</f>
        <v/>
      </c>
      <c r="Z18" s="324" t="str">
        <f>IF(Y18="","",INDEX(計算シート!$E$2:$M$77,MATCH(Y18,計算シート!$E$2:$E$77,0),2))</f>
        <v/>
      </c>
      <c r="AA18" s="326"/>
      <c r="AB18" s="324" t="str">
        <f>IF(Y18="","",INDEX(計算シート!$E$2:$M$77,MATCH(Y18,計算シート!$E$2:$E$77,0),3))</f>
        <v/>
      </c>
      <c r="AC18" s="325"/>
      <c r="AD18" s="325"/>
      <c r="AE18" s="326"/>
      <c r="AG18" s="195"/>
      <c r="AH18" s="322" t="str">
        <f>IF(計算シート!$M$78&gt;=50,50,"")</f>
        <v/>
      </c>
      <c r="AI18" s="324" t="str">
        <f>IF(AH18="","",INDEX(計算シート!$E$2:$M$77,MATCH(AH18,計算シート!$E$2:$E$77,0),2))</f>
        <v/>
      </c>
      <c r="AJ18" s="326"/>
      <c r="AK18" s="324" t="str">
        <f>IF(AH18="","",INDEX(計算シート!$E$2:$M$77,MATCH(AH18,計算シート!$E$2:$E$77,0),3))</f>
        <v/>
      </c>
      <c r="AL18" s="325"/>
      <c r="AM18" s="325"/>
      <c r="AN18" s="326"/>
      <c r="AO18" s="322" t="str">
        <f>IF(計算シート!$M$78&gt;=62,62,"")</f>
        <v/>
      </c>
      <c r="AP18" s="324" t="str">
        <f>IF(AO18="","",INDEX(計算シート!$E$2:$M$77,MATCH(AO18,計算シート!$E$2:$E$77,0),2))</f>
        <v/>
      </c>
      <c r="AQ18" s="326"/>
      <c r="AR18" s="324" t="str">
        <f>IF(AO18="","",INDEX(計算シート!$E$2:$M$77,MATCH(AO18,計算シート!$E$2:$E$77,0),3))</f>
        <v/>
      </c>
      <c r="AS18" s="325"/>
      <c r="AT18" s="325"/>
      <c r="AU18" s="326"/>
    </row>
    <row r="19" spans="1:47" s="196" customFormat="1" ht="9" customHeight="1" x14ac:dyDescent="0.15">
      <c r="A19" s="195"/>
      <c r="B19" s="347"/>
      <c r="C19" s="327"/>
      <c r="D19" s="329"/>
      <c r="E19" s="327"/>
      <c r="F19" s="328"/>
      <c r="G19" s="328"/>
      <c r="H19" s="329"/>
      <c r="I19" s="322"/>
      <c r="J19" s="327"/>
      <c r="K19" s="329"/>
      <c r="L19" s="327"/>
      <c r="M19" s="328"/>
      <c r="N19" s="328"/>
      <c r="O19" s="329"/>
      <c r="Q19" s="195"/>
      <c r="R19" s="322"/>
      <c r="S19" s="327"/>
      <c r="T19" s="329"/>
      <c r="U19" s="327"/>
      <c r="V19" s="328"/>
      <c r="W19" s="328"/>
      <c r="X19" s="329"/>
      <c r="Y19" s="322"/>
      <c r="Z19" s="327"/>
      <c r="AA19" s="329"/>
      <c r="AB19" s="327"/>
      <c r="AC19" s="328"/>
      <c r="AD19" s="328"/>
      <c r="AE19" s="329"/>
      <c r="AG19" s="195"/>
      <c r="AH19" s="322"/>
      <c r="AI19" s="327"/>
      <c r="AJ19" s="329"/>
      <c r="AK19" s="327"/>
      <c r="AL19" s="328"/>
      <c r="AM19" s="328"/>
      <c r="AN19" s="329"/>
      <c r="AO19" s="322"/>
      <c r="AP19" s="327"/>
      <c r="AQ19" s="329"/>
      <c r="AR19" s="327"/>
      <c r="AS19" s="328"/>
      <c r="AT19" s="328"/>
      <c r="AU19" s="329"/>
    </row>
    <row r="20" spans="1:47" s="196" customFormat="1" ht="11.25" customHeight="1" x14ac:dyDescent="0.15">
      <c r="A20" s="195"/>
      <c r="B20" s="330" t="str">
        <f>IF(B18="","",INDEX(計算シート!$E$2:$M$77,MATCH(B18,計算シート!$E$2:$E$77,0),9))</f>
        <v/>
      </c>
      <c r="C20" s="331"/>
      <c r="D20" s="331"/>
      <c r="E20" s="331"/>
      <c r="F20" s="331"/>
      <c r="G20" s="331"/>
      <c r="H20" s="332"/>
      <c r="I20" s="323" t="str">
        <f>IF(I18="","",INDEX(計算シート!$E$2:$M$77,MATCH(I18,計算シート!$E$2:$E$77,0),9))</f>
        <v/>
      </c>
      <c r="J20" s="323"/>
      <c r="K20" s="323"/>
      <c r="L20" s="323"/>
      <c r="M20" s="323"/>
      <c r="N20" s="323"/>
      <c r="O20" s="323"/>
      <c r="Q20" s="195"/>
      <c r="R20" s="330" t="str">
        <f>IF(R18="","",INDEX(計算シート!$E$2:$M$77,MATCH(R18,計算シート!$E$2:$E$77,0),9))</f>
        <v/>
      </c>
      <c r="S20" s="331"/>
      <c r="T20" s="331"/>
      <c r="U20" s="331"/>
      <c r="V20" s="331"/>
      <c r="W20" s="331"/>
      <c r="X20" s="332"/>
      <c r="Y20" s="323" t="str">
        <f>IF(Y18="","",INDEX(計算シート!$E$2:$M$77,MATCH(Y18,計算シート!$E$2:$E$77,0),9))</f>
        <v/>
      </c>
      <c r="Z20" s="323"/>
      <c r="AA20" s="323"/>
      <c r="AB20" s="323"/>
      <c r="AC20" s="323"/>
      <c r="AD20" s="323"/>
      <c r="AE20" s="323"/>
      <c r="AG20" s="195"/>
      <c r="AH20" s="330" t="str">
        <f>IF(AH18="","",INDEX(計算シート!$E$2:$M$77,MATCH(AH18,計算シート!$E$2:$E$77,0),9))</f>
        <v/>
      </c>
      <c r="AI20" s="331"/>
      <c r="AJ20" s="331"/>
      <c r="AK20" s="331"/>
      <c r="AL20" s="331"/>
      <c r="AM20" s="331"/>
      <c r="AN20" s="332"/>
      <c r="AO20" s="323" t="str">
        <f>IF(AO18="","",INDEX(計算シート!$E$2:$M$77,MATCH(AO18,計算シート!$E$2:$E$77,0),9))</f>
        <v/>
      </c>
      <c r="AP20" s="323"/>
      <c r="AQ20" s="323"/>
      <c r="AR20" s="323"/>
      <c r="AS20" s="323"/>
      <c r="AT20" s="323"/>
      <c r="AU20" s="323"/>
    </row>
    <row r="21" spans="1:47" s="196" customFormat="1" ht="11.25" customHeight="1" x14ac:dyDescent="0.15">
      <c r="A21" s="195"/>
      <c r="B21" s="333"/>
      <c r="C21" s="334"/>
      <c r="D21" s="334"/>
      <c r="E21" s="334"/>
      <c r="F21" s="334"/>
      <c r="G21" s="334"/>
      <c r="H21" s="335"/>
      <c r="I21" s="323"/>
      <c r="J21" s="323"/>
      <c r="K21" s="323"/>
      <c r="L21" s="323"/>
      <c r="M21" s="323"/>
      <c r="N21" s="323"/>
      <c r="O21" s="323"/>
      <c r="Q21" s="195"/>
      <c r="R21" s="333"/>
      <c r="S21" s="334"/>
      <c r="T21" s="334"/>
      <c r="U21" s="334"/>
      <c r="V21" s="334"/>
      <c r="W21" s="334"/>
      <c r="X21" s="335"/>
      <c r="Y21" s="323"/>
      <c r="Z21" s="323"/>
      <c r="AA21" s="323"/>
      <c r="AB21" s="323"/>
      <c r="AC21" s="323"/>
      <c r="AD21" s="323"/>
      <c r="AE21" s="323"/>
      <c r="AG21" s="195"/>
      <c r="AH21" s="333"/>
      <c r="AI21" s="334"/>
      <c r="AJ21" s="334"/>
      <c r="AK21" s="334"/>
      <c r="AL21" s="334"/>
      <c r="AM21" s="334"/>
      <c r="AN21" s="335"/>
      <c r="AO21" s="323"/>
      <c r="AP21" s="323"/>
      <c r="AQ21" s="323"/>
      <c r="AR21" s="323"/>
      <c r="AS21" s="323"/>
      <c r="AT21" s="323"/>
      <c r="AU21" s="323"/>
    </row>
    <row r="22" spans="1:47" s="196" customFormat="1" ht="11.25" customHeight="1" x14ac:dyDescent="0.15">
      <c r="A22" s="195"/>
      <c r="B22" s="333"/>
      <c r="C22" s="334"/>
      <c r="D22" s="334"/>
      <c r="E22" s="334"/>
      <c r="F22" s="334"/>
      <c r="G22" s="334"/>
      <c r="H22" s="335"/>
      <c r="I22" s="323"/>
      <c r="J22" s="323"/>
      <c r="K22" s="323"/>
      <c r="L22" s="323"/>
      <c r="M22" s="323"/>
      <c r="N22" s="323"/>
      <c r="O22" s="323"/>
      <c r="Q22" s="195"/>
      <c r="R22" s="333"/>
      <c r="S22" s="334"/>
      <c r="T22" s="334"/>
      <c r="U22" s="334"/>
      <c r="V22" s="334"/>
      <c r="W22" s="334"/>
      <c r="X22" s="335"/>
      <c r="Y22" s="323"/>
      <c r="Z22" s="323"/>
      <c r="AA22" s="323"/>
      <c r="AB22" s="323"/>
      <c r="AC22" s="323"/>
      <c r="AD22" s="323"/>
      <c r="AE22" s="323"/>
      <c r="AG22" s="195"/>
      <c r="AH22" s="333"/>
      <c r="AI22" s="334"/>
      <c r="AJ22" s="334"/>
      <c r="AK22" s="334"/>
      <c r="AL22" s="334"/>
      <c r="AM22" s="334"/>
      <c r="AN22" s="335"/>
      <c r="AO22" s="323"/>
      <c r="AP22" s="323"/>
      <c r="AQ22" s="323"/>
      <c r="AR22" s="323"/>
      <c r="AS22" s="323"/>
      <c r="AT22" s="323"/>
      <c r="AU22" s="323"/>
    </row>
    <row r="23" spans="1:47" s="196" customFormat="1" ht="11.25" customHeight="1" x14ac:dyDescent="0.15">
      <c r="A23" s="195"/>
      <c r="B23" s="333"/>
      <c r="C23" s="334"/>
      <c r="D23" s="334"/>
      <c r="E23" s="334"/>
      <c r="F23" s="334"/>
      <c r="G23" s="334"/>
      <c r="H23" s="335"/>
      <c r="I23" s="323"/>
      <c r="J23" s="323"/>
      <c r="K23" s="323"/>
      <c r="L23" s="323"/>
      <c r="M23" s="323"/>
      <c r="N23" s="323"/>
      <c r="O23" s="323"/>
      <c r="Q23" s="195"/>
      <c r="R23" s="333"/>
      <c r="S23" s="334"/>
      <c r="T23" s="334"/>
      <c r="U23" s="334"/>
      <c r="V23" s="334"/>
      <c r="W23" s="334"/>
      <c r="X23" s="335"/>
      <c r="Y23" s="323"/>
      <c r="Z23" s="323"/>
      <c r="AA23" s="323"/>
      <c r="AB23" s="323"/>
      <c r="AC23" s="323"/>
      <c r="AD23" s="323"/>
      <c r="AE23" s="323"/>
      <c r="AG23" s="195"/>
      <c r="AH23" s="333"/>
      <c r="AI23" s="334"/>
      <c r="AJ23" s="334"/>
      <c r="AK23" s="334"/>
      <c r="AL23" s="334"/>
      <c r="AM23" s="334"/>
      <c r="AN23" s="335"/>
      <c r="AO23" s="323"/>
      <c r="AP23" s="323"/>
      <c r="AQ23" s="323"/>
      <c r="AR23" s="323"/>
      <c r="AS23" s="323"/>
      <c r="AT23" s="323"/>
      <c r="AU23" s="323"/>
    </row>
    <row r="24" spans="1:47" s="196" customFormat="1" ht="11.25" customHeight="1" x14ac:dyDescent="0.15">
      <c r="A24" s="195"/>
      <c r="B24" s="336"/>
      <c r="C24" s="337"/>
      <c r="D24" s="337"/>
      <c r="E24" s="337"/>
      <c r="F24" s="337"/>
      <c r="G24" s="337"/>
      <c r="H24" s="338"/>
      <c r="I24" s="323"/>
      <c r="J24" s="323"/>
      <c r="K24" s="323"/>
      <c r="L24" s="323"/>
      <c r="M24" s="323"/>
      <c r="N24" s="323"/>
      <c r="O24" s="323"/>
      <c r="Q24" s="195"/>
      <c r="R24" s="336"/>
      <c r="S24" s="337"/>
      <c r="T24" s="337"/>
      <c r="U24" s="337"/>
      <c r="V24" s="337"/>
      <c r="W24" s="337"/>
      <c r="X24" s="338"/>
      <c r="Y24" s="323"/>
      <c r="Z24" s="323"/>
      <c r="AA24" s="323"/>
      <c r="AB24" s="323"/>
      <c r="AC24" s="323"/>
      <c r="AD24" s="323"/>
      <c r="AE24" s="323"/>
      <c r="AG24" s="195"/>
      <c r="AH24" s="336"/>
      <c r="AI24" s="337"/>
      <c r="AJ24" s="337"/>
      <c r="AK24" s="337"/>
      <c r="AL24" s="337"/>
      <c r="AM24" s="337"/>
      <c r="AN24" s="338"/>
      <c r="AO24" s="323"/>
      <c r="AP24" s="323"/>
      <c r="AQ24" s="323"/>
      <c r="AR24" s="323"/>
      <c r="AS24" s="323"/>
      <c r="AT24" s="323"/>
      <c r="AU24" s="323"/>
    </row>
    <row r="25" spans="1:47" s="196" customFormat="1" ht="9" customHeight="1" x14ac:dyDescent="0.15">
      <c r="A25" s="195"/>
      <c r="B25" s="322" t="str">
        <f>IF(計算シート!$M$78&gt;=4,4,"")</f>
        <v/>
      </c>
      <c r="C25" s="322" t="str">
        <f>IF(B25="","",INDEX(計算シート!$E$2:$M$77,MATCH(B25,計算シート!$E$2:$E$77,0),2))</f>
        <v/>
      </c>
      <c r="D25" s="322"/>
      <c r="E25" s="322" t="str">
        <f>IF(B25="","",INDEX(計算シート!$E$2:$M$77,MATCH(B25,計算シート!$E$2:$E$77,0),3))</f>
        <v/>
      </c>
      <c r="F25" s="322"/>
      <c r="G25" s="322"/>
      <c r="H25" s="322"/>
      <c r="I25" s="346" t="str">
        <f>IF(計算シート!$M$78&gt;=15,15,"")</f>
        <v/>
      </c>
      <c r="J25" s="322" t="str">
        <f>IF(I25="","",INDEX(計算シート!$E$2:$M$77,MATCH(I25,計算シート!$E$2:$E$77,0),2))</f>
        <v/>
      </c>
      <c r="K25" s="322"/>
      <c r="L25" s="322" t="str">
        <f>IF(I25="","",INDEX(計算シート!$E$2:$M$77,MATCH(I25,計算シート!$E$2:$E$77,0),3))</f>
        <v/>
      </c>
      <c r="M25" s="322"/>
      <c r="N25" s="322"/>
      <c r="O25" s="322"/>
      <c r="Q25" s="195"/>
      <c r="R25" s="322" t="str">
        <f>IF(計算シート!$M$78&gt;=27,27,"")</f>
        <v/>
      </c>
      <c r="S25" s="322" t="str">
        <f>IF(R25="","",INDEX(計算シート!$E$2:$M$77,MATCH(R25,計算シート!$E$2:$E$77,0),2))</f>
        <v/>
      </c>
      <c r="T25" s="322"/>
      <c r="U25" s="322" t="str">
        <f>IF(R25="","",INDEX(計算シート!$E$2:$M$77,MATCH(R25,計算シート!$E$2:$E$77,0),3))</f>
        <v/>
      </c>
      <c r="V25" s="322"/>
      <c r="W25" s="322"/>
      <c r="X25" s="322"/>
      <c r="Y25" s="322" t="str">
        <f>IF(計算シート!$M$78&gt;=39,39,"")</f>
        <v/>
      </c>
      <c r="Z25" s="322" t="str">
        <f>IF(Y25="","",INDEX(計算シート!$E$2:$M$77,MATCH(Y25,計算シート!$E$2:$E$77,0),2))</f>
        <v/>
      </c>
      <c r="AA25" s="322"/>
      <c r="AB25" s="322" t="str">
        <f>IF(Y25="","",INDEX(計算シート!$E$2:$M$77,MATCH(Y25,計算シート!$E$2:$E$77,0),3))</f>
        <v/>
      </c>
      <c r="AC25" s="322"/>
      <c r="AD25" s="322"/>
      <c r="AE25" s="322"/>
      <c r="AG25" s="195"/>
      <c r="AH25" s="322" t="str">
        <f>IF(計算シート!$M$78&gt;=51,51,"")</f>
        <v/>
      </c>
      <c r="AI25" s="322" t="str">
        <f>IF(AH25="","",INDEX(計算シート!$E$2:$M$77,MATCH(AH25,計算シート!$E$2:$E$77,0),2))</f>
        <v/>
      </c>
      <c r="AJ25" s="322"/>
      <c r="AK25" s="322" t="str">
        <f>IF(AH25="","",INDEX(計算シート!$E$2:$M$77,MATCH(AH25,計算シート!$E$2:$E$77,0),3))</f>
        <v/>
      </c>
      <c r="AL25" s="322"/>
      <c r="AM25" s="322"/>
      <c r="AN25" s="322"/>
      <c r="AO25" s="322" t="str">
        <f>IF(計算シート!$M$78&gt;=63,63,"")</f>
        <v/>
      </c>
      <c r="AP25" s="322" t="str">
        <f>IF(AO25="","",INDEX(計算シート!$E$2:$M$77,MATCH(AO25,計算シート!$E$2:$E$77,0),2))</f>
        <v/>
      </c>
      <c r="AQ25" s="322"/>
      <c r="AR25" s="322" t="str">
        <f>IF(AO25="","",INDEX(計算シート!$E$2:$M$77,MATCH(AO25,計算シート!$E$2:$E$77,0),3))</f>
        <v/>
      </c>
      <c r="AS25" s="322"/>
      <c r="AT25" s="322"/>
      <c r="AU25" s="322"/>
    </row>
    <row r="26" spans="1:47" s="196" customFormat="1" ht="9" customHeight="1" x14ac:dyDescent="0.15">
      <c r="A26" s="195"/>
      <c r="B26" s="322"/>
      <c r="C26" s="322"/>
      <c r="D26" s="322"/>
      <c r="E26" s="322"/>
      <c r="F26" s="322"/>
      <c r="G26" s="322"/>
      <c r="H26" s="322"/>
      <c r="I26" s="347"/>
      <c r="J26" s="322"/>
      <c r="K26" s="322"/>
      <c r="L26" s="322"/>
      <c r="M26" s="322"/>
      <c r="N26" s="322"/>
      <c r="O26" s="322"/>
      <c r="Q26" s="195"/>
      <c r="R26" s="322"/>
      <c r="S26" s="322"/>
      <c r="T26" s="322"/>
      <c r="U26" s="322"/>
      <c r="V26" s="322"/>
      <c r="W26" s="322"/>
      <c r="X26" s="322"/>
      <c r="Y26" s="322"/>
      <c r="Z26" s="322"/>
      <c r="AA26" s="322"/>
      <c r="AB26" s="322"/>
      <c r="AC26" s="322"/>
      <c r="AD26" s="322"/>
      <c r="AE26" s="322"/>
      <c r="AG26" s="195"/>
      <c r="AH26" s="322"/>
      <c r="AI26" s="322"/>
      <c r="AJ26" s="322"/>
      <c r="AK26" s="322"/>
      <c r="AL26" s="322"/>
      <c r="AM26" s="322"/>
      <c r="AN26" s="322"/>
      <c r="AO26" s="322"/>
      <c r="AP26" s="322"/>
      <c r="AQ26" s="322"/>
      <c r="AR26" s="322"/>
      <c r="AS26" s="322"/>
      <c r="AT26" s="322"/>
      <c r="AU26" s="322"/>
    </row>
    <row r="27" spans="1:47" s="196" customFormat="1" ht="11.25" customHeight="1" x14ac:dyDescent="0.15">
      <c r="A27" s="195"/>
      <c r="B27" s="323" t="str">
        <f>IF(B25="","",INDEX(計算シート!$E$2:$M$77,MATCH(B25,計算シート!$E$2:$E$77,0),9))</f>
        <v/>
      </c>
      <c r="C27" s="323"/>
      <c r="D27" s="323"/>
      <c r="E27" s="323"/>
      <c r="F27" s="323"/>
      <c r="G27" s="323"/>
      <c r="H27" s="323"/>
      <c r="I27" s="323" t="str">
        <f>IF(I25="","",INDEX(計算シート!$E$2:$M$77,MATCH(I25,計算シート!$E$2:$E$77,0),9))</f>
        <v/>
      </c>
      <c r="J27" s="323"/>
      <c r="K27" s="323"/>
      <c r="L27" s="323"/>
      <c r="M27" s="323"/>
      <c r="N27" s="323"/>
      <c r="O27" s="323"/>
      <c r="Q27" s="195"/>
      <c r="R27" s="323" t="str">
        <f>IF(R25="","",INDEX(計算シート!$E$2:$M$77,MATCH(R25,計算シート!$E$2:$E$77,0),9))</f>
        <v/>
      </c>
      <c r="S27" s="323"/>
      <c r="T27" s="323"/>
      <c r="U27" s="323"/>
      <c r="V27" s="323"/>
      <c r="W27" s="323"/>
      <c r="X27" s="323"/>
      <c r="Y27" s="323" t="str">
        <f>IF(Y25="","",INDEX(計算シート!$E$2:$M$77,MATCH(Y25,計算シート!$E$2:$E$77,0),9))</f>
        <v/>
      </c>
      <c r="Z27" s="323"/>
      <c r="AA27" s="323"/>
      <c r="AB27" s="323"/>
      <c r="AC27" s="323"/>
      <c r="AD27" s="323"/>
      <c r="AE27" s="323"/>
      <c r="AG27" s="195"/>
      <c r="AH27" s="323" t="str">
        <f>IF(AH25="","",INDEX(計算シート!$E$2:$M$77,MATCH(AH25,計算シート!$E$2:$E$77,0),9))</f>
        <v/>
      </c>
      <c r="AI27" s="323"/>
      <c r="AJ27" s="323"/>
      <c r="AK27" s="323"/>
      <c r="AL27" s="323"/>
      <c r="AM27" s="323"/>
      <c r="AN27" s="323"/>
      <c r="AO27" s="323" t="str">
        <f>IF(AO25="","",INDEX(計算シート!$E$2:$M$77,MATCH(AO25,計算シート!$E$2:$E$77,0),9))</f>
        <v/>
      </c>
      <c r="AP27" s="323"/>
      <c r="AQ27" s="323"/>
      <c r="AR27" s="323"/>
      <c r="AS27" s="323"/>
      <c r="AT27" s="323"/>
      <c r="AU27" s="323"/>
    </row>
    <row r="28" spans="1:47" s="196" customFormat="1" ht="11.25" customHeight="1" x14ac:dyDescent="0.15">
      <c r="A28" s="195"/>
      <c r="B28" s="323"/>
      <c r="C28" s="323"/>
      <c r="D28" s="323"/>
      <c r="E28" s="323"/>
      <c r="F28" s="323"/>
      <c r="G28" s="323"/>
      <c r="H28" s="323"/>
      <c r="I28" s="323"/>
      <c r="J28" s="323"/>
      <c r="K28" s="323"/>
      <c r="L28" s="323"/>
      <c r="M28" s="323"/>
      <c r="N28" s="323"/>
      <c r="O28" s="323"/>
      <c r="Q28" s="195"/>
      <c r="R28" s="323"/>
      <c r="S28" s="323"/>
      <c r="T28" s="323"/>
      <c r="U28" s="323"/>
      <c r="V28" s="323"/>
      <c r="W28" s="323"/>
      <c r="X28" s="323"/>
      <c r="Y28" s="323"/>
      <c r="Z28" s="323"/>
      <c r="AA28" s="323"/>
      <c r="AB28" s="323"/>
      <c r="AC28" s="323"/>
      <c r="AD28" s="323"/>
      <c r="AE28" s="323"/>
      <c r="AG28" s="195"/>
      <c r="AH28" s="323"/>
      <c r="AI28" s="323"/>
      <c r="AJ28" s="323"/>
      <c r="AK28" s="323"/>
      <c r="AL28" s="323"/>
      <c r="AM28" s="323"/>
      <c r="AN28" s="323"/>
      <c r="AO28" s="323"/>
      <c r="AP28" s="323"/>
      <c r="AQ28" s="323"/>
      <c r="AR28" s="323"/>
      <c r="AS28" s="323"/>
      <c r="AT28" s="323"/>
      <c r="AU28" s="323"/>
    </row>
    <row r="29" spans="1:47" s="196" customFormat="1" ht="11.25" customHeight="1" x14ac:dyDescent="0.15">
      <c r="A29" s="195"/>
      <c r="B29" s="323"/>
      <c r="C29" s="323"/>
      <c r="D29" s="323"/>
      <c r="E29" s="323"/>
      <c r="F29" s="323"/>
      <c r="G29" s="323"/>
      <c r="H29" s="323"/>
      <c r="I29" s="323"/>
      <c r="J29" s="323"/>
      <c r="K29" s="323"/>
      <c r="L29" s="323"/>
      <c r="M29" s="323"/>
      <c r="N29" s="323"/>
      <c r="O29" s="323"/>
      <c r="Q29" s="195"/>
      <c r="R29" s="323"/>
      <c r="S29" s="323"/>
      <c r="T29" s="323"/>
      <c r="U29" s="323"/>
      <c r="V29" s="323"/>
      <c r="W29" s="323"/>
      <c r="X29" s="323"/>
      <c r="Y29" s="323"/>
      <c r="Z29" s="323"/>
      <c r="AA29" s="323"/>
      <c r="AB29" s="323"/>
      <c r="AC29" s="323"/>
      <c r="AD29" s="323"/>
      <c r="AE29" s="323"/>
      <c r="AG29" s="195"/>
      <c r="AH29" s="323"/>
      <c r="AI29" s="323"/>
      <c r="AJ29" s="323"/>
      <c r="AK29" s="323"/>
      <c r="AL29" s="323"/>
      <c r="AM29" s="323"/>
      <c r="AN29" s="323"/>
      <c r="AO29" s="323"/>
      <c r="AP29" s="323"/>
      <c r="AQ29" s="323"/>
      <c r="AR29" s="323"/>
      <c r="AS29" s="323"/>
      <c r="AT29" s="323"/>
      <c r="AU29" s="323"/>
    </row>
    <row r="30" spans="1:47" s="196" customFormat="1" ht="11.25" customHeight="1" x14ac:dyDescent="0.15">
      <c r="A30" s="195"/>
      <c r="B30" s="323"/>
      <c r="C30" s="323"/>
      <c r="D30" s="323"/>
      <c r="E30" s="323"/>
      <c r="F30" s="323"/>
      <c r="G30" s="323"/>
      <c r="H30" s="323"/>
      <c r="I30" s="323"/>
      <c r="J30" s="323"/>
      <c r="K30" s="323"/>
      <c r="L30" s="323"/>
      <c r="M30" s="323"/>
      <c r="N30" s="323"/>
      <c r="O30" s="323"/>
      <c r="Q30" s="195"/>
      <c r="R30" s="323"/>
      <c r="S30" s="323"/>
      <c r="T30" s="323"/>
      <c r="U30" s="323"/>
      <c r="V30" s="323"/>
      <c r="W30" s="323"/>
      <c r="X30" s="323"/>
      <c r="Y30" s="323"/>
      <c r="Z30" s="323"/>
      <c r="AA30" s="323"/>
      <c r="AB30" s="323"/>
      <c r="AC30" s="323"/>
      <c r="AD30" s="323"/>
      <c r="AE30" s="323"/>
      <c r="AG30" s="195"/>
      <c r="AH30" s="323"/>
      <c r="AI30" s="323"/>
      <c r="AJ30" s="323"/>
      <c r="AK30" s="323"/>
      <c r="AL30" s="323"/>
      <c r="AM30" s="323"/>
      <c r="AN30" s="323"/>
      <c r="AO30" s="323"/>
      <c r="AP30" s="323"/>
      <c r="AQ30" s="323"/>
      <c r="AR30" s="323"/>
      <c r="AS30" s="323"/>
      <c r="AT30" s="323"/>
      <c r="AU30" s="323"/>
    </row>
    <row r="31" spans="1:47" s="196" customFormat="1" ht="11.25" customHeight="1" x14ac:dyDescent="0.15">
      <c r="A31" s="195"/>
      <c r="B31" s="323"/>
      <c r="C31" s="323"/>
      <c r="D31" s="323"/>
      <c r="E31" s="323"/>
      <c r="F31" s="323"/>
      <c r="G31" s="323"/>
      <c r="H31" s="323"/>
      <c r="I31" s="323"/>
      <c r="J31" s="323"/>
      <c r="K31" s="323"/>
      <c r="L31" s="323"/>
      <c r="M31" s="323"/>
      <c r="N31" s="323"/>
      <c r="O31" s="323"/>
      <c r="Q31" s="195"/>
      <c r="R31" s="323"/>
      <c r="S31" s="323"/>
      <c r="T31" s="323"/>
      <c r="U31" s="323"/>
      <c r="V31" s="323"/>
      <c r="W31" s="323"/>
      <c r="X31" s="323"/>
      <c r="Y31" s="323"/>
      <c r="Z31" s="323"/>
      <c r="AA31" s="323"/>
      <c r="AB31" s="323"/>
      <c r="AC31" s="323"/>
      <c r="AD31" s="323"/>
      <c r="AE31" s="323"/>
      <c r="AG31" s="195"/>
      <c r="AH31" s="323"/>
      <c r="AI31" s="323"/>
      <c r="AJ31" s="323"/>
      <c r="AK31" s="323"/>
      <c r="AL31" s="323"/>
      <c r="AM31" s="323"/>
      <c r="AN31" s="323"/>
      <c r="AO31" s="323"/>
      <c r="AP31" s="323"/>
      <c r="AQ31" s="323"/>
      <c r="AR31" s="323"/>
      <c r="AS31" s="323"/>
      <c r="AT31" s="323"/>
      <c r="AU31" s="323"/>
    </row>
    <row r="32" spans="1:47" s="196" customFormat="1" ht="9" customHeight="1" x14ac:dyDescent="0.15">
      <c r="A32" s="195"/>
      <c r="B32" s="322" t="str">
        <f>IF(計算シート!$M$78&gt;=5,5,"")</f>
        <v/>
      </c>
      <c r="C32" s="322" t="str">
        <f>IF(B32="","",INDEX(計算シート!$E$2:$M$77,MATCH(B32,計算シート!$E$2:$E$77,0),2))</f>
        <v/>
      </c>
      <c r="D32" s="322"/>
      <c r="E32" s="322" t="str">
        <f>IF(B32="","",INDEX(計算シート!$E$2:$M$77,MATCH(B32,計算シート!$E$2:$E$77,0),3))</f>
        <v/>
      </c>
      <c r="F32" s="322"/>
      <c r="G32" s="322"/>
      <c r="H32" s="322"/>
      <c r="I32" s="322" t="str">
        <f>IF(計算シート!$M$78&gt;=16,16,"")</f>
        <v/>
      </c>
      <c r="J32" s="322" t="str">
        <f>IF(I32="","",INDEX(計算シート!$E$2:$M$77,MATCH(I32,計算シート!$E$2:$E$77,0),2))</f>
        <v/>
      </c>
      <c r="K32" s="322"/>
      <c r="L32" s="322" t="str">
        <f>IF(I32="","",INDEX(計算シート!$E$2:$M$77,MATCH(I32,計算シート!$E$2:$E$77,0),3))</f>
        <v/>
      </c>
      <c r="M32" s="322"/>
      <c r="N32" s="322"/>
      <c r="O32" s="322"/>
      <c r="Q32" s="195"/>
      <c r="R32" s="346" t="str">
        <f>IF(計算シート!$M$78&gt;=28,28,"")</f>
        <v/>
      </c>
      <c r="S32" s="322" t="str">
        <f>IF(R32="","",INDEX(計算シート!$E$2:$M$77,MATCH(R32,計算シート!$E$2:$E$77,0),2))</f>
        <v/>
      </c>
      <c r="T32" s="322"/>
      <c r="U32" s="322" t="str">
        <f>IF(R32="","",INDEX(計算シート!$E$2:$M$77,MATCH(R32,計算シート!$E$2:$E$77,0),3))</f>
        <v/>
      </c>
      <c r="V32" s="322"/>
      <c r="W32" s="322"/>
      <c r="X32" s="322"/>
      <c r="Y32" s="322" t="str">
        <f>IF(計算シート!$M$78&gt;=40,40,"")</f>
        <v/>
      </c>
      <c r="Z32" s="322" t="str">
        <f>IF(Y32="","",INDEX(計算シート!$E$2:$M$77,MATCH(Y32,計算シート!$E$2:$E$77,0),2))</f>
        <v/>
      </c>
      <c r="AA32" s="322"/>
      <c r="AB32" s="322" t="str">
        <f>IF(Y32="","",INDEX(計算シート!$E$2:$M$77,MATCH(Y32,計算シート!$E$2:$E$77,0),3))</f>
        <v/>
      </c>
      <c r="AC32" s="322"/>
      <c r="AD32" s="322"/>
      <c r="AE32" s="322"/>
      <c r="AG32" s="195"/>
      <c r="AH32" s="322" t="str">
        <f>IF(計算シート!$M$78&gt;=52,52,"")</f>
        <v/>
      </c>
      <c r="AI32" s="322" t="str">
        <f>IF(AH32="","",INDEX(計算シート!$E$2:$M$77,MATCH(AH32,計算シート!$E$2:$E$77,0),2))</f>
        <v/>
      </c>
      <c r="AJ32" s="322"/>
      <c r="AK32" s="322" t="str">
        <f>IF(AH32="","",INDEX(計算シート!$E$2:$M$77,MATCH(AH32,計算シート!$E$2:$E$77,0),3))</f>
        <v/>
      </c>
      <c r="AL32" s="322"/>
      <c r="AM32" s="322"/>
      <c r="AN32" s="322"/>
      <c r="AO32" s="322" t="str">
        <f>IF(計算シート!$M$78&gt;=64,64,"")</f>
        <v/>
      </c>
      <c r="AP32" s="322" t="str">
        <f>IF(AO32="","",INDEX(計算シート!$E$2:$M$77,MATCH(AO32,計算シート!$E$2:$E$77,0),2))</f>
        <v/>
      </c>
      <c r="AQ32" s="322"/>
      <c r="AR32" s="322" t="str">
        <f>IF(AO32="","",INDEX(計算シート!$E$2:$M$77,MATCH(AO32,計算シート!$E$2:$E$77,0),3))</f>
        <v/>
      </c>
      <c r="AS32" s="322"/>
      <c r="AT32" s="322"/>
      <c r="AU32" s="322"/>
    </row>
    <row r="33" spans="1:47" s="196" customFormat="1" ht="9" customHeight="1" x14ac:dyDescent="0.15">
      <c r="A33" s="195"/>
      <c r="B33" s="322"/>
      <c r="C33" s="322"/>
      <c r="D33" s="322"/>
      <c r="E33" s="322"/>
      <c r="F33" s="322"/>
      <c r="G33" s="322"/>
      <c r="H33" s="322"/>
      <c r="I33" s="322"/>
      <c r="J33" s="322"/>
      <c r="K33" s="322"/>
      <c r="L33" s="322"/>
      <c r="M33" s="322"/>
      <c r="N33" s="322"/>
      <c r="O33" s="322"/>
      <c r="Q33" s="195"/>
      <c r="R33" s="347"/>
      <c r="S33" s="322"/>
      <c r="T33" s="322"/>
      <c r="U33" s="322"/>
      <c r="V33" s="322"/>
      <c r="W33" s="322"/>
      <c r="X33" s="322"/>
      <c r="Y33" s="322"/>
      <c r="Z33" s="322"/>
      <c r="AA33" s="322"/>
      <c r="AB33" s="322"/>
      <c r="AC33" s="322"/>
      <c r="AD33" s="322"/>
      <c r="AE33" s="322"/>
      <c r="AG33" s="195"/>
      <c r="AH33" s="322"/>
      <c r="AI33" s="322"/>
      <c r="AJ33" s="322"/>
      <c r="AK33" s="322"/>
      <c r="AL33" s="322"/>
      <c r="AM33" s="322"/>
      <c r="AN33" s="322"/>
      <c r="AO33" s="322"/>
      <c r="AP33" s="322"/>
      <c r="AQ33" s="322"/>
      <c r="AR33" s="322"/>
      <c r="AS33" s="322"/>
      <c r="AT33" s="322"/>
      <c r="AU33" s="322"/>
    </row>
    <row r="34" spans="1:47" s="196" customFormat="1" ht="11.25" customHeight="1" x14ac:dyDescent="0.15">
      <c r="A34" s="195"/>
      <c r="B34" s="323" t="str">
        <f>IF(B32="","",INDEX(計算シート!$E$2:$M$77,MATCH(B32,計算シート!$E$2:$E$77,0),9))</f>
        <v/>
      </c>
      <c r="C34" s="323"/>
      <c r="D34" s="323"/>
      <c r="E34" s="323"/>
      <c r="F34" s="323"/>
      <c r="G34" s="323"/>
      <c r="H34" s="323"/>
      <c r="I34" s="323" t="str">
        <f>IF(I32="","",INDEX(計算シート!$E$2:$M$77,MATCH(I32,計算シート!$E$2:$E$77,0),9))</f>
        <v/>
      </c>
      <c r="J34" s="323"/>
      <c r="K34" s="323"/>
      <c r="L34" s="323"/>
      <c r="M34" s="323"/>
      <c r="N34" s="323"/>
      <c r="O34" s="323"/>
      <c r="Q34" s="195"/>
      <c r="R34" s="323" t="str">
        <f>IF(R32="","",INDEX(計算シート!$E$2:$M$77,MATCH(R32,計算シート!$E$2:$E$77,0),9))</f>
        <v/>
      </c>
      <c r="S34" s="323"/>
      <c r="T34" s="323"/>
      <c r="U34" s="323"/>
      <c r="V34" s="323"/>
      <c r="W34" s="323"/>
      <c r="X34" s="323"/>
      <c r="Y34" s="323" t="str">
        <f>IF(Y32="","",INDEX(計算シート!$E$2:$M$77,MATCH(Y32,計算シート!$E$2:$E$77,0),9))</f>
        <v/>
      </c>
      <c r="Z34" s="323"/>
      <c r="AA34" s="323"/>
      <c r="AB34" s="323"/>
      <c r="AC34" s="323"/>
      <c r="AD34" s="323"/>
      <c r="AE34" s="323"/>
      <c r="AG34" s="195"/>
      <c r="AH34" s="323" t="str">
        <f>IF(AH32="","",INDEX(計算シート!$E$2:$M$77,MATCH(AH32,計算シート!$E$2:$E$77,0),9))</f>
        <v/>
      </c>
      <c r="AI34" s="323"/>
      <c r="AJ34" s="323"/>
      <c r="AK34" s="323"/>
      <c r="AL34" s="323"/>
      <c r="AM34" s="323"/>
      <c r="AN34" s="323"/>
      <c r="AO34" s="323" t="str">
        <f>IF(AO32="","",INDEX(計算シート!$E$2:$M$77,MATCH(AO32,計算シート!$E$2:$E$77,0),9))</f>
        <v/>
      </c>
      <c r="AP34" s="323"/>
      <c r="AQ34" s="323"/>
      <c r="AR34" s="323"/>
      <c r="AS34" s="323"/>
      <c r="AT34" s="323"/>
      <c r="AU34" s="323"/>
    </row>
    <row r="35" spans="1:47" s="196" customFormat="1" ht="11.25" customHeight="1" x14ac:dyDescent="0.15">
      <c r="A35" s="195"/>
      <c r="B35" s="323"/>
      <c r="C35" s="323"/>
      <c r="D35" s="323"/>
      <c r="E35" s="323"/>
      <c r="F35" s="323"/>
      <c r="G35" s="323"/>
      <c r="H35" s="323"/>
      <c r="I35" s="323"/>
      <c r="J35" s="323"/>
      <c r="K35" s="323"/>
      <c r="L35" s="323"/>
      <c r="M35" s="323"/>
      <c r="N35" s="323"/>
      <c r="O35" s="323"/>
      <c r="Q35" s="195"/>
      <c r="R35" s="323"/>
      <c r="S35" s="323"/>
      <c r="T35" s="323"/>
      <c r="U35" s="323"/>
      <c r="V35" s="323"/>
      <c r="W35" s="323"/>
      <c r="X35" s="323"/>
      <c r="Y35" s="323"/>
      <c r="Z35" s="323"/>
      <c r="AA35" s="323"/>
      <c r="AB35" s="323"/>
      <c r="AC35" s="323"/>
      <c r="AD35" s="323"/>
      <c r="AE35" s="323"/>
      <c r="AG35" s="195"/>
      <c r="AH35" s="323"/>
      <c r="AI35" s="323"/>
      <c r="AJ35" s="323"/>
      <c r="AK35" s="323"/>
      <c r="AL35" s="323"/>
      <c r="AM35" s="323"/>
      <c r="AN35" s="323"/>
      <c r="AO35" s="323"/>
      <c r="AP35" s="323"/>
      <c r="AQ35" s="323"/>
      <c r="AR35" s="323"/>
      <c r="AS35" s="323"/>
      <c r="AT35" s="323"/>
      <c r="AU35" s="323"/>
    </row>
    <row r="36" spans="1:47" s="196" customFormat="1" ht="11.25" customHeight="1" x14ac:dyDescent="0.15">
      <c r="A36" s="195"/>
      <c r="B36" s="323"/>
      <c r="C36" s="323"/>
      <c r="D36" s="323"/>
      <c r="E36" s="323"/>
      <c r="F36" s="323"/>
      <c r="G36" s="323"/>
      <c r="H36" s="323"/>
      <c r="I36" s="323"/>
      <c r="J36" s="323"/>
      <c r="K36" s="323"/>
      <c r="L36" s="323"/>
      <c r="M36" s="323"/>
      <c r="N36" s="323"/>
      <c r="O36" s="323"/>
      <c r="Q36" s="195"/>
      <c r="R36" s="323"/>
      <c r="S36" s="323"/>
      <c r="T36" s="323"/>
      <c r="U36" s="323"/>
      <c r="V36" s="323"/>
      <c r="W36" s="323"/>
      <c r="X36" s="323"/>
      <c r="Y36" s="323"/>
      <c r="Z36" s="323"/>
      <c r="AA36" s="323"/>
      <c r="AB36" s="323"/>
      <c r="AC36" s="323"/>
      <c r="AD36" s="323"/>
      <c r="AE36" s="323"/>
      <c r="AG36" s="195"/>
      <c r="AH36" s="323"/>
      <c r="AI36" s="323"/>
      <c r="AJ36" s="323"/>
      <c r="AK36" s="323"/>
      <c r="AL36" s="323"/>
      <c r="AM36" s="323"/>
      <c r="AN36" s="323"/>
      <c r="AO36" s="323"/>
      <c r="AP36" s="323"/>
      <c r="AQ36" s="323"/>
      <c r="AR36" s="323"/>
      <c r="AS36" s="323"/>
      <c r="AT36" s="323"/>
      <c r="AU36" s="323"/>
    </row>
    <row r="37" spans="1:47" s="196" customFormat="1" ht="11.25" customHeight="1" x14ac:dyDescent="0.15">
      <c r="A37" s="195"/>
      <c r="B37" s="323"/>
      <c r="C37" s="323"/>
      <c r="D37" s="323"/>
      <c r="E37" s="323"/>
      <c r="F37" s="323"/>
      <c r="G37" s="323"/>
      <c r="H37" s="323"/>
      <c r="I37" s="323"/>
      <c r="J37" s="323"/>
      <c r="K37" s="323"/>
      <c r="L37" s="323"/>
      <c r="M37" s="323"/>
      <c r="N37" s="323"/>
      <c r="O37" s="323"/>
      <c r="Q37" s="195"/>
      <c r="R37" s="323"/>
      <c r="S37" s="323"/>
      <c r="T37" s="323"/>
      <c r="U37" s="323"/>
      <c r="V37" s="323"/>
      <c r="W37" s="323"/>
      <c r="X37" s="323"/>
      <c r="Y37" s="323"/>
      <c r="Z37" s="323"/>
      <c r="AA37" s="323"/>
      <c r="AB37" s="323"/>
      <c r="AC37" s="323"/>
      <c r="AD37" s="323"/>
      <c r="AE37" s="323"/>
      <c r="AG37" s="195"/>
      <c r="AH37" s="323"/>
      <c r="AI37" s="323"/>
      <c r="AJ37" s="323"/>
      <c r="AK37" s="323"/>
      <c r="AL37" s="323"/>
      <c r="AM37" s="323"/>
      <c r="AN37" s="323"/>
      <c r="AO37" s="323"/>
      <c r="AP37" s="323"/>
      <c r="AQ37" s="323"/>
      <c r="AR37" s="323"/>
      <c r="AS37" s="323"/>
      <c r="AT37" s="323"/>
      <c r="AU37" s="323"/>
    </row>
    <row r="38" spans="1:47" s="196" customFormat="1" ht="11.25" customHeight="1" x14ac:dyDescent="0.15">
      <c r="A38" s="195"/>
      <c r="B38" s="323"/>
      <c r="C38" s="323"/>
      <c r="D38" s="323"/>
      <c r="E38" s="323"/>
      <c r="F38" s="323"/>
      <c r="G38" s="323"/>
      <c r="H38" s="323"/>
      <c r="I38" s="323"/>
      <c r="J38" s="323"/>
      <c r="K38" s="323"/>
      <c r="L38" s="323"/>
      <c r="M38" s="323"/>
      <c r="N38" s="323"/>
      <c r="O38" s="323"/>
      <c r="Q38" s="195"/>
      <c r="R38" s="323"/>
      <c r="S38" s="323"/>
      <c r="T38" s="323"/>
      <c r="U38" s="323"/>
      <c r="V38" s="323"/>
      <c r="W38" s="323"/>
      <c r="X38" s="323"/>
      <c r="Y38" s="323"/>
      <c r="Z38" s="323"/>
      <c r="AA38" s="323"/>
      <c r="AB38" s="323"/>
      <c r="AC38" s="323"/>
      <c r="AD38" s="323"/>
      <c r="AE38" s="323"/>
      <c r="AG38" s="195"/>
      <c r="AH38" s="323"/>
      <c r="AI38" s="323"/>
      <c r="AJ38" s="323"/>
      <c r="AK38" s="323"/>
      <c r="AL38" s="323"/>
      <c r="AM38" s="323"/>
      <c r="AN38" s="323"/>
      <c r="AO38" s="323"/>
      <c r="AP38" s="323"/>
      <c r="AQ38" s="323"/>
      <c r="AR38" s="323"/>
      <c r="AS38" s="323"/>
      <c r="AT38" s="323"/>
      <c r="AU38" s="323"/>
    </row>
    <row r="39" spans="1:47" s="196" customFormat="1" ht="9" customHeight="1" x14ac:dyDescent="0.15">
      <c r="A39" s="195"/>
      <c r="B39" s="322" t="str">
        <f>IF(計算シート!$M$78&gt;=6,6,"")</f>
        <v/>
      </c>
      <c r="C39" s="322" t="str">
        <f>IF(B39="","",INDEX(計算シート!$E$2:$M$77,MATCH(B39,計算シート!$E$2:$E$77,0),2))</f>
        <v/>
      </c>
      <c r="D39" s="322"/>
      <c r="E39" s="322" t="str">
        <f>IF(B39="","",INDEX(計算シート!$E$2:$M$77,MATCH(B39,計算シート!$E$2:$E$77,0),3))</f>
        <v/>
      </c>
      <c r="F39" s="322"/>
      <c r="G39" s="322"/>
      <c r="H39" s="322"/>
      <c r="I39" s="322" t="str">
        <f>IF(計算シート!$M$78&gt;=17,17,"")</f>
        <v/>
      </c>
      <c r="J39" s="322" t="str">
        <f>IF(I39="","",INDEX(計算シート!$E$2:$M$77,MATCH(I39,計算シート!$E$2:$E$77,0),2))</f>
        <v/>
      </c>
      <c r="K39" s="322"/>
      <c r="L39" s="322" t="str">
        <f>IF(I39="","",INDEX(計算シート!$E$2:$M$77,MATCH(I39,計算シート!$E$2:$E$77,0),3))</f>
        <v/>
      </c>
      <c r="M39" s="322"/>
      <c r="N39" s="322"/>
      <c r="O39" s="322"/>
      <c r="Q39" s="195"/>
      <c r="R39" s="322" t="str">
        <f>IF(計算シート!$M$78&gt;=29,29,"")</f>
        <v/>
      </c>
      <c r="S39" s="322" t="str">
        <f>IF(R39="","",INDEX(計算シート!$E$2:$M$77,MATCH(R39,計算シート!$E$2:$E$77,0),2))</f>
        <v/>
      </c>
      <c r="T39" s="322"/>
      <c r="U39" s="322" t="str">
        <f>IF(R39="","",INDEX(計算シート!$E$2:$M$77,MATCH(R39,計算シート!$E$2:$E$77,0),3))</f>
        <v/>
      </c>
      <c r="V39" s="322"/>
      <c r="W39" s="322"/>
      <c r="X39" s="322"/>
      <c r="Y39" s="322" t="str">
        <f>IF(計算シート!$M$78&gt;=41,41,"")</f>
        <v/>
      </c>
      <c r="Z39" s="322" t="str">
        <f>IF(Y39="","",INDEX(計算シート!$E$2:$M$77,MATCH(Y39,計算シート!$E$2:$E$77,0),2))</f>
        <v/>
      </c>
      <c r="AA39" s="322"/>
      <c r="AB39" s="322" t="str">
        <f>IF(Y39="","",INDEX(計算シート!$E$2:$M$77,MATCH(Y39,計算シート!$E$2:$E$77,0),3))</f>
        <v/>
      </c>
      <c r="AC39" s="322"/>
      <c r="AD39" s="322"/>
      <c r="AE39" s="322"/>
      <c r="AG39" s="195"/>
      <c r="AH39" s="322" t="str">
        <f>IF(計算シート!$M$78&gt;=53,53,"")</f>
        <v/>
      </c>
      <c r="AI39" s="322" t="str">
        <f>IF(AH39="","",INDEX(計算シート!$E$2:$M$77,MATCH(AH39,計算シート!$E$2:$E$77,0),2))</f>
        <v/>
      </c>
      <c r="AJ39" s="322"/>
      <c r="AK39" s="322" t="str">
        <f>IF(AH39="","",INDEX(計算シート!$E$2:$M$77,MATCH(AH39,計算シート!$E$2:$E$77,0),3))</f>
        <v/>
      </c>
      <c r="AL39" s="322"/>
      <c r="AM39" s="322"/>
      <c r="AN39" s="322"/>
      <c r="AO39" s="322" t="str">
        <f>IF(計算シート!$M$78&gt;=65,65,"")</f>
        <v/>
      </c>
      <c r="AP39" s="322" t="str">
        <f>IF(AO39="","",INDEX(計算シート!$E$2:$M$77,MATCH(AO39,計算シート!$E$2:$E$77,0),2))</f>
        <v/>
      </c>
      <c r="AQ39" s="322"/>
      <c r="AR39" s="322" t="str">
        <f>IF(AO39="","",INDEX(計算シート!$E$2:$M$77,MATCH(AO39,計算シート!$E$2:$E$77,0),3))</f>
        <v/>
      </c>
      <c r="AS39" s="322"/>
      <c r="AT39" s="322"/>
      <c r="AU39" s="322"/>
    </row>
    <row r="40" spans="1:47" s="196" customFormat="1" ht="9" customHeight="1" x14ac:dyDescent="0.15">
      <c r="A40" s="195"/>
      <c r="B40" s="322"/>
      <c r="C40" s="322"/>
      <c r="D40" s="322"/>
      <c r="E40" s="322"/>
      <c r="F40" s="322"/>
      <c r="G40" s="322"/>
      <c r="H40" s="322"/>
      <c r="I40" s="322"/>
      <c r="J40" s="322"/>
      <c r="K40" s="322"/>
      <c r="L40" s="322"/>
      <c r="M40" s="322"/>
      <c r="N40" s="322"/>
      <c r="O40" s="322"/>
      <c r="Q40" s="195"/>
      <c r="R40" s="322"/>
      <c r="S40" s="322"/>
      <c r="T40" s="322"/>
      <c r="U40" s="322"/>
      <c r="V40" s="322"/>
      <c r="W40" s="322"/>
      <c r="X40" s="322"/>
      <c r="Y40" s="322"/>
      <c r="Z40" s="322"/>
      <c r="AA40" s="322"/>
      <c r="AB40" s="322"/>
      <c r="AC40" s="322"/>
      <c r="AD40" s="322"/>
      <c r="AE40" s="322"/>
      <c r="AG40" s="195"/>
      <c r="AH40" s="322"/>
      <c r="AI40" s="322"/>
      <c r="AJ40" s="322"/>
      <c r="AK40" s="322"/>
      <c r="AL40" s="322"/>
      <c r="AM40" s="322"/>
      <c r="AN40" s="322"/>
      <c r="AO40" s="322"/>
      <c r="AP40" s="322"/>
      <c r="AQ40" s="322"/>
      <c r="AR40" s="322"/>
      <c r="AS40" s="322"/>
      <c r="AT40" s="322"/>
      <c r="AU40" s="322"/>
    </row>
    <row r="41" spans="1:47" s="196" customFormat="1" ht="11.25" customHeight="1" x14ac:dyDescent="0.15">
      <c r="A41" s="195"/>
      <c r="B41" s="323" t="str">
        <f>IF(B39="","",INDEX(計算シート!$E$2:$M$77,MATCH(B39,計算シート!$E$2:$E$77,0),9))</f>
        <v/>
      </c>
      <c r="C41" s="323"/>
      <c r="D41" s="323"/>
      <c r="E41" s="323"/>
      <c r="F41" s="323"/>
      <c r="G41" s="323"/>
      <c r="H41" s="323"/>
      <c r="I41" s="323" t="str">
        <f>IF(I39="","",INDEX(計算シート!$E$2:$M$77,MATCH(I39,計算シート!$E$2:$E$77,0),9))</f>
        <v/>
      </c>
      <c r="J41" s="323"/>
      <c r="K41" s="323"/>
      <c r="L41" s="323"/>
      <c r="M41" s="323"/>
      <c r="N41" s="323"/>
      <c r="O41" s="323"/>
      <c r="Q41" s="195"/>
      <c r="R41" s="323" t="str">
        <f>IF(R39="","",INDEX(計算シート!$E$2:$M$77,MATCH(R39,計算シート!$E$2:$E$77,0),9))</f>
        <v/>
      </c>
      <c r="S41" s="323"/>
      <c r="T41" s="323"/>
      <c r="U41" s="323"/>
      <c r="V41" s="323"/>
      <c r="W41" s="323"/>
      <c r="X41" s="323"/>
      <c r="Y41" s="323" t="str">
        <f>IF(Y39="","",INDEX(計算シート!$E$2:$M$77,MATCH(Y39,計算シート!$E$2:$E$77,0),9))</f>
        <v/>
      </c>
      <c r="Z41" s="323"/>
      <c r="AA41" s="323"/>
      <c r="AB41" s="323"/>
      <c r="AC41" s="323"/>
      <c r="AD41" s="323"/>
      <c r="AE41" s="323"/>
      <c r="AG41" s="195"/>
      <c r="AH41" s="323" t="str">
        <f>IF(AH39="","",INDEX(計算シート!$E$2:$M$77,MATCH(AH39,計算シート!$E$2:$E$77,0),9))</f>
        <v/>
      </c>
      <c r="AI41" s="323"/>
      <c r="AJ41" s="323"/>
      <c r="AK41" s="323"/>
      <c r="AL41" s="323"/>
      <c r="AM41" s="323"/>
      <c r="AN41" s="323"/>
      <c r="AO41" s="323" t="str">
        <f>IF(AO39="","",INDEX(計算シート!$E$2:$M$77,MATCH(AO39,計算シート!$E$2:$E$77,0),9))</f>
        <v/>
      </c>
      <c r="AP41" s="323"/>
      <c r="AQ41" s="323"/>
      <c r="AR41" s="323"/>
      <c r="AS41" s="323"/>
      <c r="AT41" s="323"/>
      <c r="AU41" s="323"/>
    </row>
    <row r="42" spans="1:47" s="196" customFormat="1" ht="11.25" customHeight="1" x14ac:dyDescent="0.15">
      <c r="A42" s="195"/>
      <c r="B42" s="323"/>
      <c r="C42" s="323"/>
      <c r="D42" s="323"/>
      <c r="E42" s="323"/>
      <c r="F42" s="323"/>
      <c r="G42" s="323"/>
      <c r="H42" s="323"/>
      <c r="I42" s="323"/>
      <c r="J42" s="323"/>
      <c r="K42" s="323"/>
      <c r="L42" s="323"/>
      <c r="M42" s="323"/>
      <c r="N42" s="323"/>
      <c r="O42" s="323"/>
      <c r="Q42" s="195"/>
      <c r="R42" s="323"/>
      <c r="S42" s="323"/>
      <c r="T42" s="323"/>
      <c r="U42" s="323"/>
      <c r="V42" s="323"/>
      <c r="W42" s="323"/>
      <c r="X42" s="323"/>
      <c r="Y42" s="323"/>
      <c r="Z42" s="323"/>
      <c r="AA42" s="323"/>
      <c r="AB42" s="323"/>
      <c r="AC42" s="323"/>
      <c r="AD42" s="323"/>
      <c r="AE42" s="323"/>
      <c r="AG42" s="195"/>
      <c r="AH42" s="323"/>
      <c r="AI42" s="323"/>
      <c r="AJ42" s="323"/>
      <c r="AK42" s="323"/>
      <c r="AL42" s="323"/>
      <c r="AM42" s="323"/>
      <c r="AN42" s="323"/>
      <c r="AO42" s="323"/>
      <c r="AP42" s="323"/>
      <c r="AQ42" s="323"/>
      <c r="AR42" s="323"/>
      <c r="AS42" s="323"/>
      <c r="AT42" s="323"/>
      <c r="AU42" s="323"/>
    </row>
    <row r="43" spans="1:47" s="196" customFormat="1" ht="11.25" customHeight="1" x14ac:dyDescent="0.15">
      <c r="A43" s="195"/>
      <c r="B43" s="323"/>
      <c r="C43" s="323"/>
      <c r="D43" s="323"/>
      <c r="E43" s="323"/>
      <c r="F43" s="323"/>
      <c r="G43" s="323"/>
      <c r="H43" s="323"/>
      <c r="I43" s="323"/>
      <c r="J43" s="323"/>
      <c r="K43" s="323"/>
      <c r="L43" s="323"/>
      <c r="M43" s="323"/>
      <c r="N43" s="323"/>
      <c r="O43" s="323"/>
      <c r="Q43" s="195"/>
      <c r="R43" s="323"/>
      <c r="S43" s="323"/>
      <c r="T43" s="323"/>
      <c r="U43" s="323"/>
      <c r="V43" s="323"/>
      <c r="W43" s="323"/>
      <c r="X43" s="323"/>
      <c r="Y43" s="323"/>
      <c r="Z43" s="323"/>
      <c r="AA43" s="323"/>
      <c r="AB43" s="323"/>
      <c r="AC43" s="323"/>
      <c r="AD43" s="323"/>
      <c r="AE43" s="323"/>
      <c r="AG43" s="195"/>
      <c r="AH43" s="323"/>
      <c r="AI43" s="323"/>
      <c r="AJ43" s="323"/>
      <c r="AK43" s="323"/>
      <c r="AL43" s="323"/>
      <c r="AM43" s="323"/>
      <c r="AN43" s="323"/>
      <c r="AO43" s="323"/>
      <c r="AP43" s="323"/>
      <c r="AQ43" s="323"/>
      <c r="AR43" s="323"/>
      <c r="AS43" s="323"/>
      <c r="AT43" s="323"/>
      <c r="AU43" s="323"/>
    </row>
    <row r="44" spans="1:47" s="196" customFormat="1" ht="11.25" customHeight="1" x14ac:dyDescent="0.15">
      <c r="A44" s="195"/>
      <c r="B44" s="323"/>
      <c r="C44" s="323"/>
      <c r="D44" s="323"/>
      <c r="E44" s="323"/>
      <c r="F44" s="323"/>
      <c r="G44" s="323"/>
      <c r="H44" s="323"/>
      <c r="I44" s="323"/>
      <c r="J44" s="323"/>
      <c r="K44" s="323"/>
      <c r="L44" s="323"/>
      <c r="M44" s="323"/>
      <c r="N44" s="323"/>
      <c r="O44" s="323"/>
      <c r="Q44" s="195"/>
      <c r="R44" s="323"/>
      <c r="S44" s="323"/>
      <c r="T44" s="323"/>
      <c r="U44" s="323"/>
      <c r="V44" s="323"/>
      <c r="W44" s="323"/>
      <c r="X44" s="323"/>
      <c r="Y44" s="323"/>
      <c r="Z44" s="323"/>
      <c r="AA44" s="323"/>
      <c r="AB44" s="323"/>
      <c r="AC44" s="323"/>
      <c r="AD44" s="323"/>
      <c r="AE44" s="323"/>
      <c r="AG44" s="195"/>
      <c r="AH44" s="323"/>
      <c r="AI44" s="323"/>
      <c r="AJ44" s="323"/>
      <c r="AK44" s="323"/>
      <c r="AL44" s="323"/>
      <c r="AM44" s="323"/>
      <c r="AN44" s="323"/>
      <c r="AO44" s="323"/>
      <c r="AP44" s="323"/>
      <c r="AQ44" s="323"/>
      <c r="AR44" s="323"/>
      <c r="AS44" s="323"/>
      <c r="AT44" s="323"/>
      <c r="AU44" s="323"/>
    </row>
    <row r="45" spans="1:47" s="196" customFormat="1" ht="11.25" customHeight="1" x14ac:dyDescent="0.15">
      <c r="A45" s="195"/>
      <c r="B45" s="323"/>
      <c r="C45" s="323"/>
      <c r="D45" s="323"/>
      <c r="E45" s="323"/>
      <c r="F45" s="323"/>
      <c r="G45" s="323"/>
      <c r="H45" s="323"/>
      <c r="I45" s="323"/>
      <c r="J45" s="323"/>
      <c r="K45" s="323"/>
      <c r="L45" s="323"/>
      <c r="M45" s="323"/>
      <c r="N45" s="323"/>
      <c r="O45" s="323"/>
      <c r="Q45" s="195"/>
      <c r="R45" s="323"/>
      <c r="S45" s="323"/>
      <c r="T45" s="323"/>
      <c r="U45" s="323"/>
      <c r="V45" s="323"/>
      <c r="W45" s="323"/>
      <c r="X45" s="323"/>
      <c r="Y45" s="323"/>
      <c r="Z45" s="323"/>
      <c r="AA45" s="323"/>
      <c r="AB45" s="323"/>
      <c r="AC45" s="323"/>
      <c r="AD45" s="323"/>
      <c r="AE45" s="323"/>
      <c r="AG45" s="195"/>
      <c r="AH45" s="323"/>
      <c r="AI45" s="323"/>
      <c r="AJ45" s="323"/>
      <c r="AK45" s="323"/>
      <c r="AL45" s="323"/>
      <c r="AM45" s="323"/>
      <c r="AN45" s="323"/>
      <c r="AO45" s="323"/>
      <c r="AP45" s="323"/>
      <c r="AQ45" s="323"/>
      <c r="AR45" s="323"/>
      <c r="AS45" s="323"/>
      <c r="AT45" s="323"/>
      <c r="AU45" s="323"/>
    </row>
    <row r="46" spans="1:47" s="196" customFormat="1" ht="9" customHeight="1" x14ac:dyDescent="0.15">
      <c r="A46" s="195"/>
      <c r="B46" s="322" t="str">
        <f>IF(計算シート!$M$78&gt;=7,7,"")</f>
        <v/>
      </c>
      <c r="C46" s="322" t="str">
        <f>IF(B46="","",INDEX(計算シート!$E$2:$M$77,MATCH(B46,計算シート!$E$2:$E$77,0),2))</f>
        <v/>
      </c>
      <c r="D46" s="322"/>
      <c r="E46" s="322" t="str">
        <f>IF(B46="","",INDEX(計算シート!$E$2:$M$77,MATCH(B46,計算シート!$E$2:$E$77,0),3))</f>
        <v/>
      </c>
      <c r="F46" s="322"/>
      <c r="G46" s="322"/>
      <c r="H46" s="322"/>
      <c r="I46" s="322" t="str">
        <f>IF(計算シート!$M$78&gt;=18,18,"")</f>
        <v/>
      </c>
      <c r="J46" s="322" t="str">
        <f>IF(I46="","",INDEX(計算シート!$E$2:$M$77,MATCH(I46,計算シート!$E$2:$E$77,0),2))</f>
        <v/>
      </c>
      <c r="K46" s="322"/>
      <c r="L46" s="322" t="str">
        <f>IF(I46="","",INDEX(計算シート!$E$2:$M$77,MATCH(I46,計算シート!$E$2:$E$77,0),3))</f>
        <v/>
      </c>
      <c r="M46" s="322"/>
      <c r="N46" s="322"/>
      <c r="O46" s="322"/>
      <c r="Q46" s="195"/>
      <c r="R46" s="322" t="str">
        <f>IF(計算シート!$M$78&gt;=30,30,"")</f>
        <v/>
      </c>
      <c r="S46" s="322" t="str">
        <f>IF(R46="","",INDEX(計算シート!$E$2:$M$77,MATCH(R46,計算シート!$E$2:$E$77,0),2))</f>
        <v/>
      </c>
      <c r="T46" s="322"/>
      <c r="U46" s="322" t="str">
        <f>IF(R46="","",INDEX(計算シート!$E$2:$M$77,MATCH(R46,計算シート!$E$2:$E$77,0),3))</f>
        <v/>
      </c>
      <c r="V46" s="322"/>
      <c r="W46" s="322"/>
      <c r="X46" s="322"/>
      <c r="Y46" s="322" t="str">
        <f>IF(計算シート!$M$78&gt;=42,42,"")</f>
        <v/>
      </c>
      <c r="Z46" s="322" t="str">
        <f>IF(Y46="","",INDEX(計算シート!$E$2:$M$77,MATCH(Y46,計算シート!$E$2:$E$77,0),2))</f>
        <v/>
      </c>
      <c r="AA46" s="322"/>
      <c r="AB46" s="322" t="str">
        <f>IF(Y46="","",INDEX(計算シート!$E$2:$M$77,MATCH(Y46,計算シート!$E$2:$E$77,0),3))</f>
        <v/>
      </c>
      <c r="AC46" s="322"/>
      <c r="AD46" s="322"/>
      <c r="AE46" s="322"/>
      <c r="AG46" s="195"/>
      <c r="AH46" s="322" t="str">
        <f>IF(計算シート!$M$78&gt;=54,54,"")</f>
        <v/>
      </c>
      <c r="AI46" s="322" t="str">
        <f>IF(AH46="","",INDEX(計算シート!$E$2:$M$77,MATCH(AH46,計算シート!$E$2:$E$77,0),2))</f>
        <v/>
      </c>
      <c r="AJ46" s="322"/>
      <c r="AK46" s="322" t="str">
        <f>IF(AH46="","",INDEX(計算シート!$E$2:$M$77,MATCH(AH46,計算シート!$E$2:$E$77,0),3))</f>
        <v/>
      </c>
      <c r="AL46" s="322"/>
      <c r="AM46" s="322"/>
      <c r="AN46" s="322"/>
      <c r="AO46" s="322" t="str">
        <f>IF(計算シート!$M$78&gt;=66,66,"")</f>
        <v/>
      </c>
      <c r="AP46" s="322" t="str">
        <f>IF(AO46="","",INDEX(計算シート!$E$2:$M$77,MATCH(AO46,計算シート!$E$2:$E$77,0),2))</f>
        <v/>
      </c>
      <c r="AQ46" s="322"/>
      <c r="AR46" s="322" t="str">
        <f>IF(AO46="","",INDEX(計算シート!$E$2:$M$77,MATCH(AO46,計算シート!$E$2:$E$77,0),3))</f>
        <v/>
      </c>
      <c r="AS46" s="322"/>
      <c r="AT46" s="322"/>
      <c r="AU46" s="322"/>
    </row>
    <row r="47" spans="1:47" s="196" customFormat="1" ht="9" customHeight="1" x14ac:dyDescent="0.15">
      <c r="A47" s="195"/>
      <c r="B47" s="322"/>
      <c r="C47" s="322"/>
      <c r="D47" s="322"/>
      <c r="E47" s="322"/>
      <c r="F47" s="322"/>
      <c r="G47" s="322"/>
      <c r="H47" s="322"/>
      <c r="I47" s="322"/>
      <c r="J47" s="322"/>
      <c r="K47" s="322"/>
      <c r="L47" s="322"/>
      <c r="M47" s="322"/>
      <c r="N47" s="322"/>
      <c r="O47" s="322"/>
      <c r="Q47" s="195"/>
      <c r="R47" s="322"/>
      <c r="S47" s="322"/>
      <c r="T47" s="322"/>
      <c r="U47" s="322"/>
      <c r="V47" s="322"/>
      <c r="W47" s="322"/>
      <c r="X47" s="322"/>
      <c r="Y47" s="322"/>
      <c r="Z47" s="322"/>
      <c r="AA47" s="322"/>
      <c r="AB47" s="322"/>
      <c r="AC47" s="322"/>
      <c r="AD47" s="322"/>
      <c r="AE47" s="322"/>
      <c r="AG47" s="195"/>
      <c r="AH47" s="322"/>
      <c r="AI47" s="322"/>
      <c r="AJ47" s="322"/>
      <c r="AK47" s="322"/>
      <c r="AL47" s="322"/>
      <c r="AM47" s="322"/>
      <c r="AN47" s="322"/>
      <c r="AO47" s="322"/>
      <c r="AP47" s="322"/>
      <c r="AQ47" s="322"/>
      <c r="AR47" s="322"/>
      <c r="AS47" s="322"/>
      <c r="AT47" s="322"/>
      <c r="AU47" s="322"/>
    </row>
    <row r="48" spans="1:47" s="196" customFormat="1" ht="11.25" customHeight="1" x14ac:dyDescent="0.15">
      <c r="A48" s="195"/>
      <c r="B48" s="323" t="str">
        <f>IF(B46="","",INDEX(計算シート!$E$2:$M$77,MATCH(B46,計算シート!$E$2:$E$77,0),9))</f>
        <v/>
      </c>
      <c r="C48" s="323"/>
      <c r="D48" s="323"/>
      <c r="E48" s="323"/>
      <c r="F48" s="323"/>
      <c r="G48" s="323"/>
      <c r="H48" s="323"/>
      <c r="I48" s="323" t="str">
        <f>IF(I46="","",INDEX(計算シート!$E$2:$M$77,MATCH(I46,計算シート!$E$2:$E$77,0),9))</f>
        <v/>
      </c>
      <c r="J48" s="323"/>
      <c r="K48" s="323"/>
      <c r="L48" s="323"/>
      <c r="M48" s="323"/>
      <c r="N48" s="323"/>
      <c r="O48" s="323"/>
      <c r="Q48" s="195"/>
      <c r="R48" s="323" t="str">
        <f>IF(R46="","",INDEX(計算シート!$E$2:$M$77,MATCH(R46,計算シート!$E$2:$E$77,0),9))</f>
        <v/>
      </c>
      <c r="S48" s="323"/>
      <c r="T48" s="323"/>
      <c r="U48" s="323"/>
      <c r="V48" s="323"/>
      <c r="W48" s="323"/>
      <c r="X48" s="323"/>
      <c r="Y48" s="323" t="str">
        <f>IF(Y46="","",INDEX(計算シート!$E$2:$M$77,MATCH(Y46,計算シート!$E$2:$E$77,0),9))</f>
        <v/>
      </c>
      <c r="Z48" s="323"/>
      <c r="AA48" s="323"/>
      <c r="AB48" s="323"/>
      <c r="AC48" s="323"/>
      <c r="AD48" s="323"/>
      <c r="AE48" s="323"/>
      <c r="AG48" s="195"/>
      <c r="AH48" s="323" t="str">
        <f>IF(AH46="","",INDEX(計算シート!$E$2:$M$77,MATCH(AH46,計算シート!$E$2:$E$77,0),9))</f>
        <v/>
      </c>
      <c r="AI48" s="323"/>
      <c r="AJ48" s="323"/>
      <c r="AK48" s="323"/>
      <c r="AL48" s="323"/>
      <c r="AM48" s="323"/>
      <c r="AN48" s="323"/>
      <c r="AO48" s="323" t="str">
        <f>IF(AO46="","",INDEX(計算シート!$E$2:$M$77,MATCH(AO46,計算シート!$E$2:$E$77,0),9))</f>
        <v/>
      </c>
      <c r="AP48" s="323"/>
      <c r="AQ48" s="323"/>
      <c r="AR48" s="323"/>
      <c r="AS48" s="323"/>
      <c r="AT48" s="323"/>
      <c r="AU48" s="323"/>
    </row>
    <row r="49" spans="1:47" s="196" customFormat="1" ht="11.25" customHeight="1" x14ac:dyDescent="0.15">
      <c r="A49" s="195"/>
      <c r="B49" s="323"/>
      <c r="C49" s="323"/>
      <c r="D49" s="323"/>
      <c r="E49" s="323"/>
      <c r="F49" s="323"/>
      <c r="G49" s="323"/>
      <c r="H49" s="323"/>
      <c r="I49" s="323"/>
      <c r="J49" s="323"/>
      <c r="K49" s="323"/>
      <c r="L49" s="323"/>
      <c r="M49" s="323"/>
      <c r="N49" s="323"/>
      <c r="O49" s="323"/>
      <c r="Q49" s="195"/>
      <c r="R49" s="323"/>
      <c r="S49" s="323"/>
      <c r="T49" s="323"/>
      <c r="U49" s="323"/>
      <c r="V49" s="323"/>
      <c r="W49" s="323"/>
      <c r="X49" s="323"/>
      <c r="Y49" s="323"/>
      <c r="Z49" s="323"/>
      <c r="AA49" s="323"/>
      <c r="AB49" s="323"/>
      <c r="AC49" s="323"/>
      <c r="AD49" s="323"/>
      <c r="AE49" s="323"/>
      <c r="AG49" s="195"/>
      <c r="AH49" s="323"/>
      <c r="AI49" s="323"/>
      <c r="AJ49" s="323"/>
      <c r="AK49" s="323"/>
      <c r="AL49" s="323"/>
      <c r="AM49" s="323"/>
      <c r="AN49" s="323"/>
      <c r="AO49" s="323"/>
      <c r="AP49" s="323"/>
      <c r="AQ49" s="323"/>
      <c r="AR49" s="323"/>
      <c r="AS49" s="323"/>
      <c r="AT49" s="323"/>
      <c r="AU49" s="323"/>
    </row>
    <row r="50" spans="1:47" s="196" customFormat="1" ht="11.25" customHeight="1" x14ac:dyDescent="0.15">
      <c r="A50" s="195"/>
      <c r="B50" s="323"/>
      <c r="C50" s="323"/>
      <c r="D50" s="323"/>
      <c r="E50" s="323"/>
      <c r="F50" s="323"/>
      <c r="G50" s="323"/>
      <c r="H50" s="323"/>
      <c r="I50" s="323"/>
      <c r="J50" s="323"/>
      <c r="K50" s="323"/>
      <c r="L50" s="323"/>
      <c r="M50" s="323"/>
      <c r="N50" s="323"/>
      <c r="O50" s="323"/>
      <c r="Q50" s="195"/>
      <c r="R50" s="323"/>
      <c r="S50" s="323"/>
      <c r="T50" s="323"/>
      <c r="U50" s="323"/>
      <c r="V50" s="323"/>
      <c r="W50" s="323"/>
      <c r="X50" s="323"/>
      <c r="Y50" s="323"/>
      <c r="Z50" s="323"/>
      <c r="AA50" s="323"/>
      <c r="AB50" s="323"/>
      <c r="AC50" s="323"/>
      <c r="AD50" s="323"/>
      <c r="AE50" s="323"/>
      <c r="AG50" s="195"/>
      <c r="AH50" s="323"/>
      <c r="AI50" s="323"/>
      <c r="AJ50" s="323"/>
      <c r="AK50" s="323"/>
      <c r="AL50" s="323"/>
      <c r="AM50" s="323"/>
      <c r="AN50" s="323"/>
      <c r="AO50" s="323"/>
      <c r="AP50" s="323"/>
      <c r="AQ50" s="323"/>
      <c r="AR50" s="323"/>
      <c r="AS50" s="323"/>
      <c r="AT50" s="323"/>
      <c r="AU50" s="323"/>
    </row>
    <row r="51" spans="1:47" s="196" customFormat="1" ht="11.25" customHeight="1" x14ac:dyDescent="0.15">
      <c r="A51" s="195"/>
      <c r="B51" s="323"/>
      <c r="C51" s="323"/>
      <c r="D51" s="323"/>
      <c r="E51" s="323"/>
      <c r="F51" s="323"/>
      <c r="G51" s="323"/>
      <c r="H51" s="323"/>
      <c r="I51" s="323"/>
      <c r="J51" s="323"/>
      <c r="K51" s="323"/>
      <c r="L51" s="323"/>
      <c r="M51" s="323"/>
      <c r="N51" s="323"/>
      <c r="O51" s="323"/>
      <c r="Q51" s="195"/>
      <c r="R51" s="323"/>
      <c r="S51" s="323"/>
      <c r="T51" s="323"/>
      <c r="U51" s="323"/>
      <c r="V51" s="323"/>
      <c r="W51" s="323"/>
      <c r="X51" s="323"/>
      <c r="Y51" s="323"/>
      <c r="Z51" s="323"/>
      <c r="AA51" s="323"/>
      <c r="AB51" s="323"/>
      <c r="AC51" s="323"/>
      <c r="AD51" s="323"/>
      <c r="AE51" s="323"/>
      <c r="AG51" s="195"/>
      <c r="AH51" s="323"/>
      <c r="AI51" s="323"/>
      <c r="AJ51" s="323"/>
      <c r="AK51" s="323"/>
      <c r="AL51" s="323"/>
      <c r="AM51" s="323"/>
      <c r="AN51" s="323"/>
      <c r="AO51" s="323"/>
      <c r="AP51" s="323"/>
      <c r="AQ51" s="323"/>
      <c r="AR51" s="323"/>
      <c r="AS51" s="323"/>
      <c r="AT51" s="323"/>
      <c r="AU51" s="323"/>
    </row>
    <row r="52" spans="1:47" s="196" customFormat="1" ht="11.25" customHeight="1" x14ac:dyDescent="0.15">
      <c r="A52" s="195"/>
      <c r="B52" s="323"/>
      <c r="C52" s="323"/>
      <c r="D52" s="323"/>
      <c r="E52" s="323"/>
      <c r="F52" s="323"/>
      <c r="G52" s="323"/>
      <c r="H52" s="323"/>
      <c r="I52" s="323"/>
      <c r="J52" s="323"/>
      <c r="K52" s="323"/>
      <c r="L52" s="323"/>
      <c r="M52" s="323"/>
      <c r="N52" s="323"/>
      <c r="O52" s="323"/>
      <c r="Q52" s="195"/>
      <c r="R52" s="323"/>
      <c r="S52" s="323"/>
      <c r="T52" s="323"/>
      <c r="U52" s="323"/>
      <c r="V52" s="323"/>
      <c r="W52" s="323"/>
      <c r="X52" s="323"/>
      <c r="Y52" s="323"/>
      <c r="Z52" s="323"/>
      <c r="AA52" s="323"/>
      <c r="AB52" s="323"/>
      <c r="AC52" s="323"/>
      <c r="AD52" s="323"/>
      <c r="AE52" s="323"/>
      <c r="AG52" s="195"/>
      <c r="AH52" s="323"/>
      <c r="AI52" s="323"/>
      <c r="AJ52" s="323"/>
      <c r="AK52" s="323"/>
      <c r="AL52" s="323"/>
      <c r="AM52" s="323"/>
      <c r="AN52" s="323"/>
      <c r="AO52" s="323"/>
      <c r="AP52" s="323"/>
      <c r="AQ52" s="323"/>
      <c r="AR52" s="323"/>
      <c r="AS52" s="323"/>
      <c r="AT52" s="323"/>
      <c r="AU52" s="323"/>
    </row>
    <row r="53" spans="1:47" s="196" customFormat="1" ht="9" customHeight="1" x14ac:dyDescent="0.15">
      <c r="A53" s="195"/>
      <c r="B53" s="322" t="str">
        <f>IF(計算シート!$M$78&gt;=8,8,"")</f>
        <v/>
      </c>
      <c r="C53" s="322" t="str">
        <f>IF(B53="","",INDEX(計算シート!$E$2:$M$77,MATCH(B53,計算シート!$E$2:$E$77,0),2))</f>
        <v/>
      </c>
      <c r="D53" s="322"/>
      <c r="E53" s="322" t="str">
        <f>IF(B53="","",INDEX(計算シート!$E$2:$M$77,MATCH(B53,計算シート!$E$2:$E$77,0),3))</f>
        <v/>
      </c>
      <c r="F53" s="322"/>
      <c r="G53" s="322"/>
      <c r="H53" s="322"/>
      <c r="I53" s="322" t="str">
        <f>IF(計算シート!$M$78&gt;=19,19,"")</f>
        <v/>
      </c>
      <c r="J53" s="322" t="str">
        <f>IF(I53="","",INDEX(計算シート!$E$2:$M$77,MATCH(I53,計算シート!$E$2:$E$77,0),2))</f>
        <v/>
      </c>
      <c r="K53" s="322"/>
      <c r="L53" s="322" t="str">
        <f>IF(I53="","",INDEX(計算シート!$E$2:$M$77,MATCH(I53,計算シート!$E$2:$E$77,0),3))</f>
        <v/>
      </c>
      <c r="M53" s="322"/>
      <c r="N53" s="322"/>
      <c r="O53" s="322"/>
      <c r="Q53" s="195"/>
      <c r="R53" s="322" t="str">
        <f>IF(計算シート!$M$78&gt;=31,31,"")</f>
        <v/>
      </c>
      <c r="S53" s="322" t="str">
        <f>IF(R53="","",INDEX(計算シート!$E$2:$M$77,MATCH(R53,計算シート!$E$2:$E$77,0),2))</f>
        <v/>
      </c>
      <c r="T53" s="322"/>
      <c r="U53" s="322" t="str">
        <f>IF(R53="","",INDEX(計算シート!$E$2:$M$77,MATCH(R53,計算シート!$E$2:$E$77,0),3))</f>
        <v/>
      </c>
      <c r="V53" s="322"/>
      <c r="W53" s="322"/>
      <c r="X53" s="322"/>
      <c r="Y53" s="322" t="str">
        <f>IF(計算シート!$M$78&gt;=43,43,"")</f>
        <v/>
      </c>
      <c r="Z53" s="322" t="str">
        <f>IF(Y53="","",INDEX(計算シート!$E$2:$M$77,MATCH(Y53,計算シート!$E$2:$E$77,0),2))</f>
        <v/>
      </c>
      <c r="AA53" s="322"/>
      <c r="AB53" s="322" t="str">
        <f>IF(Y53="","",INDEX(計算シート!$E$2:$M$77,MATCH(Y53,計算シート!$E$2:$E$77,0),3))</f>
        <v/>
      </c>
      <c r="AC53" s="322"/>
      <c r="AD53" s="322"/>
      <c r="AE53" s="322"/>
      <c r="AG53" s="195"/>
      <c r="AH53" s="322" t="str">
        <f>IF(計算シート!$M$78&gt;=55,55,"")</f>
        <v/>
      </c>
      <c r="AI53" s="322" t="str">
        <f>IF(AH53="","",INDEX(計算シート!$E$2:$M$77,MATCH(AH53,計算シート!$E$2:$E$77,0),2))</f>
        <v/>
      </c>
      <c r="AJ53" s="322"/>
      <c r="AK53" s="322" t="str">
        <f>IF(AH53="","",INDEX(計算シート!$E$2:$M$77,MATCH(AH53,計算シート!$E$2:$E$77,0),3))</f>
        <v/>
      </c>
      <c r="AL53" s="322"/>
      <c r="AM53" s="322"/>
      <c r="AN53" s="322"/>
      <c r="AO53" s="322" t="str">
        <f>IF(計算シート!$M$78&gt;=67,67,"")</f>
        <v/>
      </c>
      <c r="AP53" s="322" t="str">
        <f>IF(AO53="","",INDEX(計算シート!$E$2:$M$77,MATCH(AO53,計算シート!$E$2:$E$77,0),2))</f>
        <v/>
      </c>
      <c r="AQ53" s="322"/>
      <c r="AR53" s="322" t="str">
        <f>IF(AO53="","",INDEX(計算シート!$E$2:$M$77,MATCH(AO53,計算シート!$E$2:$E$77,0),3))</f>
        <v/>
      </c>
      <c r="AS53" s="322"/>
      <c r="AT53" s="322"/>
      <c r="AU53" s="322"/>
    </row>
    <row r="54" spans="1:47" s="196" customFormat="1" ht="9" customHeight="1" x14ac:dyDescent="0.15">
      <c r="A54" s="195"/>
      <c r="B54" s="322"/>
      <c r="C54" s="322"/>
      <c r="D54" s="322"/>
      <c r="E54" s="322"/>
      <c r="F54" s="322"/>
      <c r="G54" s="322"/>
      <c r="H54" s="322"/>
      <c r="I54" s="322"/>
      <c r="J54" s="322"/>
      <c r="K54" s="322"/>
      <c r="L54" s="322"/>
      <c r="M54" s="322"/>
      <c r="N54" s="322"/>
      <c r="O54" s="322"/>
      <c r="Q54" s="195"/>
      <c r="R54" s="322"/>
      <c r="S54" s="322"/>
      <c r="T54" s="322"/>
      <c r="U54" s="322"/>
      <c r="V54" s="322"/>
      <c r="W54" s="322"/>
      <c r="X54" s="322"/>
      <c r="Y54" s="322"/>
      <c r="Z54" s="322"/>
      <c r="AA54" s="322"/>
      <c r="AB54" s="322"/>
      <c r="AC54" s="322"/>
      <c r="AD54" s="322"/>
      <c r="AE54" s="322"/>
      <c r="AG54" s="195"/>
      <c r="AH54" s="322"/>
      <c r="AI54" s="322"/>
      <c r="AJ54" s="322"/>
      <c r="AK54" s="322"/>
      <c r="AL54" s="322"/>
      <c r="AM54" s="322"/>
      <c r="AN54" s="322"/>
      <c r="AO54" s="322"/>
      <c r="AP54" s="322"/>
      <c r="AQ54" s="322"/>
      <c r="AR54" s="322"/>
      <c r="AS54" s="322"/>
      <c r="AT54" s="322"/>
      <c r="AU54" s="322"/>
    </row>
    <row r="55" spans="1:47" s="196" customFormat="1" ht="11.25" customHeight="1" x14ac:dyDescent="0.15">
      <c r="A55" s="195"/>
      <c r="B55" s="323" t="str">
        <f>IF(B53="","",INDEX(計算シート!$E$2:$M$77,MATCH(B53,計算シート!$E$2:$E$77,0),9))</f>
        <v/>
      </c>
      <c r="C55" s="323"/>
      <c r="D55" s="323"/>
      <c r="E55" s="323"/>
      <c r="F55" s="323"/>
      <c r="G55" s="323"/>
      <c r="H55" s="323"/>
      <c r="I55" s="323" t="str">
        <f>IF(I53="","",INDEX(計算シート!$E$2:$M$77,MATCH(I53,計算シート!$E$2:$E$77,0),9))</f>
        <v/>
      </c>
      <c r="J55" s="323"/>
      <c r="K55" s="323"/>
      <c r="L55" s="323"/>
      <c r="M55" s="323"/>
      <c r="N55" s="323"/>
      <c r="O55" s="323"/>
      <c r="Q55" s="195"/>
      <c r="R55" s="323" t="str">
        <f>IF(R53="","",INDEX(計算シート!$E$2:$M$77,MATCH(R53,計算シート!$E$2:$E$77,0),9))</f>
        <v/>
      </c>
      <c r="S55" s="323"/>
      <c r="T55" s="323"/>
      <c r="U55" s="323"/>
      <c r="V55" s="323"/>
      <c r="W55" s="323"/>
      <c r="X55" s="323"/>
      <c r="Y55" s="323" t="str">
        <f>IF(Y53="","",INDEX(計算シート!$E$2:$M$77,MATCH(Y53,計算シート!$E$2:$E$77,0),9))</f>
        <v/>
      </c>
      <c r="Z55" s="323"/>
      <c r="AA55" s="323"/>
      <c r="AB55" s="323"/>
      <c r="AC55" s="323"/>
      <c r="AD55" s="323"/>
      <c r="AE55" s="323"/>
      <c r="AG55" s="195"/>
      <c r="AH55" s="323" t="str">
        <f>IF(AH53="","",INDEX(計算シート!$E$2:$M$77,MATCH(AH53,計算シート!$E$2:$E$77,0),9))</f>
        <v/>
      </c>
      <c r="AI55" s="323"/>
      <c r="AJ55" s="323"/>
      <c r="AK55" s="323"/>
      <c r="AL55" s="323"/>
      <c r="AM55" s="323"/>
      <c r="AN55" s="323"/>
      <c r="AO55" s="323" t="str">
        <f>IF(AO53="","",INDEX(計算シート!$E$2:$M$77,MATCH(AO53,計算シート!$E$2:$E$77,0),9))</f>
        <v/>
      </c>
      <c r="AP55" s="323"/>
      <c r="AQ55" s="323"/>
      <c r="AR55" s="323"/>
      <c r="AS55" s="323"/>
      <c r="AT55" s="323"/>
      <c r="AU55" s="323"/>
    </row>
    <row r="56" spans="1:47" s="196" customFormat="1" ht="11.25" customHeight="1" x14ac:dyDescent="0.15">
      <c r="A56" s="195"/>
      <c r="B56" s="323"/>
      <c r="C56" s="323"/>
      <c r="D56" s="323"/>
      <c r="E56" s="323"/>
      <c r="F56" s="323"/>
      <c r="G56" s="323"/>
      <c r="H56" s="323"/>
      <c r="I56" s="323"/>
      <c r="J56" s="323"/>
      <c r="K56" s="323"/>
      <c r="L56" s="323"/>
      <c r="M56" s="323"/>
      <c r="N56" s="323"/>
      <c r="O56" s="323"/>
      <c r="Q56" s="195"/>
      <c r="R56" s="323"/>
      <c r="S56" s="323"/>
      <c r="T56" s="323"/>
      <c r="U56" s="323"/>
      <c r="V56" s="323"/>
      <c r="W56" s="323"/>
      <c r="X56" s="323"/>
      <c r="Y56" s="323"/>
      <c r="Z56" s="323"/>
      <c r="AA56" s="323"/>
      <c r="AB56" s="323"/>
      <c r="AC56" s="323"/>
      <c r="AD56" s="323"/>
      <c r="AE56" s="323"/>
      <c r="AG56" s="195"/>
      <c r="AH56" s="323"/>
      <c r="AI56" s="323"/>
      <c r="AJ56" s="323"/>
      <c r="AK56" s="323"/>
      <c r="AL56" s="323"/>
      <c r="AM56" s="323"/>
      <c r="AN56" s="323"/>
      <c r="AO56" s="323"/>
      <c r="AP56" s="323"/>
      <c r="AQ56" s="323"/>
      <c r="AR56" s="323"/>
      <c r="AS56" s="323"/>
      <c r="AT56" s="323"/>
      <c r="AU56" s="323"/>
    </row>
    <row r="57" spans="1:47" s="196" customFormat="1" ht="11.25" customHeight="1" x14ac:dyDescent="0.15">
      <c r="A57" s="195"/>
      <c r="B57" s="323"/>
      <c r="C57" s="323"/>
      <c r="D57" s="323"/>
      <c r="E57" s="323"/>
      <c r="F57" s="323"/>
      <c r="G57" s="323"/>
      <c r="H57" s="323"/>
      <c r="I57" s="323"/>
      <c r="J57" s="323"/>
      <c r="K57" s="323"/>
      <c r="L57" s="323"/>
      <c r="M57" s="323"/>
      <c r="N57" s="323"/>
      <c r="O57" s="323"/>
      <c r="Q57" s="195"/>
      <c r="R57" s="323"/>
      <c r="S57" s="323"/>
      <c r="T57" s="323"/>
      <c r="U57" s="323"/>
      <c r="V57" s="323"/>
      <c r="W57" s="323"/>
      <c r="X57" s="323"/>
      <c r="Y57" s="323"/>
      <c r="Z57" s="323"/>
      <c r="AA57" s="323"/>
      <c r="AB57" s="323"/>
      <c r="AC57" s="323"/>
      <c r="AD57" s="323"/>
      <c r="AE57" s="323"/>
      <c r="AG57" s="195"/>
      <c r="AH57" s="323"/>
      <c r="AI57" s="323"/>
      <c r="AJ57" s="323"/>
      <c r="AK57" s="323"/>
      <c r="AL57" s="323"/>
      <c r="AM57" s="323"/>
      <c r="AN57" s="323"/>
      <c r="AO57" s="323"/>
      <c r="AP57" s="323"/>
      <c r="AQ57" s="323"/>
      <c r="AR57" s="323"/>
      <c r="AS57" s="323"/>
      <c r="AT57" s="323"/>
      <c r="AU57" s="323"/>
    </row>
    <row r="58" spans="1:47" s="196" customFormat="1" ht="11.25" customHeight="1" x14ac:dyDescent="0.15">
      <c r="A58" s="195"/>
      <c r="B58" s="323"/>
      <c r="C58" s="323"/>
      <c r="D58" s="323"/>
      <c r="E58" s="323"/>
      <c r="F58" s="323"/>
      <c r="G58" s="323"/>
      <c r="H58" s="323"/>
      <c r="I58" s="323"/>
      <c r="J58" s="323"/>
      <c r="K58" s="323"/>
      <c r="L58" s="323"/>
      <c r="M58" s="323"/>
      <c r="N58" s="323"/>
      <c r="O58" s="323"/>
      <c r="Q58" s="195"/>
      <c r="R58" s="323"/>
      <c r="S58" s="323"/>
      <c r="T58" s="323"/>
      <c r="U58" s="323"/>
      <c r="V58" s="323"/>
      <c r="W58" s="323"/>
      <c r="X58" s="323"/>
      <c r="Y58" s="323"/>
      <c r="Z58" s="323"/>
      <c r="AA58" s="323"/>
      <c r="AB58" s="323"/>
      <c r="AC58" s="323"/>
      <c r="AD58" s="323"/>
      <c r="AE58" s="323"/>
      <c r="AG58" s="195"/>
      <c r="AH58" s="323"/>
      <c r="AI58" s="323"/>
      <c r="AJ58" s="323"/>
      <c r="AK58" s="323"/>
      <c r="AL58" s="323"/>
      <c r="AM58" s="323"/>
      <c r="AN58" s="323"/>
      <c r="AO58" s="323"/>
      <c r="AP58" s="323"/>
      <c r="AQ58" s="323"/>
      <c r="AR58" s="323"/>
      <c r="AS58" s="323"/>
      <c r="AT58" s="323"/>
      <c r="AU58" s="323"/>
    </row>
    <row r="59" spans="1:47" s="196" customFormat="1" ht="11.25" customHeight="1" x14ac:dyDescent="0.15">
      <c r="A59" s="195"/>
      <c r="B59" s="323"/>
      <c r="C59" s="323"/>
      <c r="D59" s="323"/>
      <c r="E59" s="323"/>
      <c r="F59" s="323"/>
      <c r="G59" s="323"/>
      <c r="H59" s="323"/>
      <c r="I59" s="323"/>
      <c r="J59" s="323"/>
      <c r="K59" s="323"/>
      <c r="L59" s="323"/>
      <c r="M59" s="323"/>
      <c r="N59" s="323"/>
      <c r="O59" s="323"/>
      <c r="Q59" s="195"/>
      <c r="R59" s="323"/>
      <c r="S59" s="323"/>
      <c r="T59" s="323"/>
      <c r="U59" s="323"/>
      <c r="V59" s="323"/>
      <c r="W59" s="323"/>
      <c r="X59" s="323"/>
      <c r="Y59" s="323"/>
      <c r="Z59" s="323"/>
      <c r="AA59" s="323"/>
      <c r="AB59" s="323"/>
      <c r="AC59" s="323"/>
      <c r="AD59" s="323"/>
      <c r="AE59" s="323"/>
      <c r="AG59" s="195"/>
      <c r="AH59" s="323"/>
      <c r="AI59" s="323"/>
      <c r="AJ59" s="323"/>
      <c r="AK59" s="323"/>
      <c r="AL59" s="323"/>
      <c r="AM59" s="323"/>
      <c r="AN59" s="323"/>
      <c r="AO59" s="323"/>
      <c r="AP59" s="323"/>
      <c r="AQ59" s="323"/>
      <c r="AR59" s="323"/>
      <c r="AS59" s="323"/>
      <c r="AT59" s="323"/>
      <c r="AU59" s="323"/>
    </row>
    <row r="60" spans="1:47" s="196" customFormat="1" ht="9" customHeight="1" x14ac:dyDescent="0.15">
      <c r="A60" s="195"/>
      <c r="B60" s="322" t="str">
        <f>IF(計算シート!$M$78&gt;=9,9,"")</f>
        <v/>
      </c>
      <c r="C60" s="322" t="str">
        <f>IF(B60="","",INDEX(計算シート!$E$2:$M$77,MATCH(B60,計算シート!$E$2:$E$77,0),2))</f>
        <v/>
      </c>
      <c r="D60" s="322"/>
      <c r="E60" s="322" t="str">
        <f>IF(B60="","",INDEX(計算シート!$E$2:$M$77,MATCH(B60,計算シート!$E$2:$E$77,0),3))</f>
        <v/>
      </c>
      <c r="F60" s="322"/>
      <c r="G60" s="322"/>
      <c r="H60" s="322"/>
      <c r="I60" s="322" t="str">
        <f>IF(計算シート!$M$78&gt;=20,20,"")</f>
        <v/>
      </c>
      <c r="J60" s="322" t="str">
        <f>IF(I60="","",INDEX(計算シート!$E$2:$M$77,MATCH(I60,計算シート!$E$2:$E$77,0),2))</f>
        <v/>
      </c>
      <c r="K60" s="322"/>
      <c r="L60" s="322" t="str">
        <f>IF(I60="","",INDEX(計算シート!$E$2:$M$77,MATCH(I60,計算シート!$E$2:$E$77,0),3))</f>
        <v/>
      </c>
      <c r="M60" s="322"/>
      <c r="N60" s="322"/>
      <c r="O60" s="322"/>
      <c r="Q60" s="195"/>
      <c r="R60" s="322" t="str">
        <f>IF(計算シート!$M$78&gt;=32,32,"")</f>
        <v/>
      </c>
      <c r="S60" s="322" t="str">
        <f>IF(R60="","",INDEX(計算シート!$E$2:$M$77,MATCH(R60,計算シート!$E$2:$E$77,0),2))</f>
        <v/>
      </c>
      <c r="T60" s="322"/>
      <c r="U60" s="322" t="str">
        <f>IF(R60="","",INDEX(計算シート!$E$2:$M$77,MATCH(R60,計算シート!$E$2:$E$77,0),3))</f>
        <v/>
      </c>
      <c r="V60" s="322"/>
      <c r="W60" s="322"/>
      <c r="X60" s="322"/>
      <c r="Y60" s="322" t="str">
        <f>IF(計算シート!$M$78&gt;=44,44,"")</f>
        <v/>
      </c>
      <c r="Z60" s="322" t="str">
        <f>IF(Y60="","",INDEX(計算シート!$E$2:$M$77,MATCH(Y60,計算シート!$E$2:$E$77,0),2))</f>
        <v/>
      </c>
      <c r="AA60" s="322"/>
      <c r="AB60" s="322" t="str">
        <f>IF(Y60="","",INDEX(計算シート!$E$2:$M$77,MATCH(Y60,計算シート!$E$2:$E$77,0),3))</f>
        <v/>
      </c>
      <c r="AC60" s="322"/>
      <c r="AD60" s="322"/>
      <c r="AE60" s="322"/>
      <c r="AG60" s="195"/>
      <c r="AH60" s="322" t="str">
        <f>IF(計算シート!$M$78&gt;=56,56,"")</f>
        <v/>
      </c>
      <c r="AI60" s="322" t="str">
        <f>IF(AH60="","",INDEX(計算シート!$E$2:$M$77,MATCH(AH60,計算シート!$E$2:$E$77,0),2))</f>
        <v/>
      </c>
      <c r="AJ60" s="322"/>
      <c r="AK60" s="322" t="str">
        <f>IF(AH60="","",INDEX(計算シート!$E$2:$M$77,MATCH(AH60,計算シート!$E$2:$E$77,0),3))</f>
        <v/>
      </c>
      <c r="AL60" s="322"/>
      <c r="AM60" s="322"/>
      <c r="AN60" s="322"/>
      <c r="AO60" s="322" t="str">
        <f>IF(計算シート!$M$78&gt;=68,68,"")</f>
        <v/>
      </c>
      <c r="AP60" s="322" t="str">
        <f>IF(AO60="","",INDEX(計算シート!$E$2:$M$77,MATCH(AO60,計算シート!$E$2:$E$77,0),2))</f>
        <v/>
      </c>
      <c r="AQ60" s="322"/>
      <c r="AR60" s="322" t="str">
        <f>IF(AO60="","",INDEX(計算シート!$E$2:$M$77,MATCH(AO60,計算シート!$E$2:$E$77,0),3))</f>
        <v/>
      </c>
      <c r="AS60" s="322"/>
      <c r="AT60" s="322"/>
      <c r="AU60" s="322"/>
    </row>
    <row r="61" spans="1:47" s="196" customFormat="1" ht="9" customHeight="1" x14ac:dyDescent="0.15">
      <c r="A61" s="195"/>
      <c r="B61" s="322"/>
      <c r="C61" s="322"/>
      <c r="D61" s="322"/>
      <c r="E61" s="322"/>
      <c r="F61" s="322"/>
      <c r="G61" s="322"/>
      <c r="H61" s="322"/>
      <c r="I61" s="322"/>
      <c r="J61" s="322"/>
      <c r="K61" s="322"/>
      <c r="L61" s="322"/>
      <c r="M61" s="322"/>
      <c r="N61" s="322"/>
      <c r="O61" s="322"/>
      <c r="Q61" s="195"/>
      <c r="R61" s="322"/>
      <c r="S61" s="322"/>
      <c r="T61" s="322"/>
      <c r="U61" s="322"/>
      <c r="V61" s="322"/>
      <c r="W61" s="322"/>
      <c r="X61" s="322"/>
      <c r="Y61" s="322"/>
      <c r="Z61" s="322"/>
      <c r="AA61" s="322"/>
      <c r="AB61" s="322"/>
      <c r="AC61" s="322"/>
      <c r="AD61" s="322"/>
      <c r="AE61" s="322"/>
      <c r="AG61" s="195"/>
      <c r="AH61" s="322"/>
      <c r="AI61" s="322"/>
      <c r="AJ61" s="322"/>
      <c r="AK61" s="322"/>
      <c r="AL61" s="322"/>
      <c r="AM61" s="322"/>
      <c r="AN61" s="322"/>
      <c r="AO61" s="322"/>
      <c r="AP61" s="322"/>
      <c r="AQ61" s="322"/>
      <c r="AR61" s="322"/>
      <c r="AS61" s="322"/>
      <c r="AT61" s="322"/>
      <c r="AU61" s="322"/>
    </row>
    <row r="62" spans="1:47" s="196" customFormat="1" ht="11.25" customHeight="1" x14ac:dyDescent="0.15">
      <c r="A62" s="195"/>
      <c r="B62" s="323" t="str">
        <f>IF(B60="","",INDEX(計算シート!$E$2:$M$77,MATCH(B60,計算シート!$E$2:$E$77,0),9))</f>
        <v/>
      </c>
      <c r="C62" s="323"/>
      <c r="D62" s="323"/>
      <c r="E62" s="323"/>
      <c r="F62" s="323"/>
      <c r="G62" s="323"/>
      <c r="H62" s="323"/>
      <c r="I62" s="323" t="str">
        <f>IF(I60="","",INDEX(計算シート!$E$2:$M$77,MATCH(I60,計算シート!$E$2:$E$77,0),9))</f>
        <v/>
      </c>
      <c r="J62" s="323"/>
      <c r="K62" s="323"/>
      <c r="L62" s="323"/>
      <c r="M62" s="323"/>
      <c r="N62" s="323"/>
      <c r="O62" s="323"/>
      <c r="Q62" s="195"/>
      <c r="R62" s="323" t="str">
        <f>IF(R60="","",INDEX(計算シート!$E$2:$M$77,MATCH(R60,計算シート!$E$2:$E$77,0),9))</f>
        <v/>
      </c>
      <c r="S62" s="323"/>
      <c r="T62" s="323"/>
      <c r="U62" s="323"/>
      <c r="V62" s="323"/>
      <c r="W62" s="323"/>
      <c r="X62" s="323"/>
      <c r="Y62" s="323" t="str">
        <f>IF(Y60="","",INDEX(計算シート!$E$2:$M$77,MATCH(Y60,計算シート!$E$2:$E$77,0),9))</f>
        <v/>
      </c>
      <c r="Z62" s="323"/>
      <c r="AA62" s="323"/>
      <c r="AB62" s="323"/>
      <c r="AC62" s="323"/>
      <c r="AD62" s="323"/>
      <c r="AE62" s="323"/>
      <c r="AG62" s="195"/>
      <c r="AH62" s="323" t="str">
        <f>IF(AH60="","",INDEX(計算シート!$E$2:$M$77,MATCH(AH60,計算シート!$E$2:$E$77,0),9))</f>
        <v/>
      </c>
      <c r="AI62" s="323"/>
      <c r="AJ62" s="323"/>
      <c r="AK62" s="323"/>
      <c r="AL62" s="323"/>
      <c r="AM62" s="323"/>
      <c r="AN62" s="323"/>
      <c r="AO62" s="323" t="str">
        <f>IF(AO60="","",INDEX(計算シート!$E$2:$M$77,MATCH(AO60,計算シート!$E$2:$E$77,0),9))</f>
        <v/>
      </c>
      <c r="AP62" s="323"/>
      <c r="AQ62" s="323"/>
      <c r="AR62" s="323"/>
      <c r="AS62" s="323"/>
      <c r="AT62" s="323"/>
      <c r="AU62" s="323"/>
    </row>
    <row r="63" spans="1:47" s="196" customFormat="1" ht="11.25" customHeight="1" x14ac:dyDescent="0.15">
      <c r="A63" s="195"/>
      <c r="B63" s="323"/>
      <c r="C63" s="323"/>
      <c r="D63" s="323"/>
      <c r="E63" s="323"/>
      <c r="F63" s="323"/>
      <c r="G63" s="323"/>
      <c r="H63" s="323"/>
      <c r="I63" s="323"/>
      <c r="J63" s="323"/>
      <c r="K63" s="323"/>
      <c r="L63" s="323"/>
      <c r="M63" s="323"/>
      <c r="N63" s="323"/>
      <c r="O63" s="323"/>
      <c r="Q63" s="195"/>
      <c r="R63" s="323"/>
      <c r="S63" s="323"/>
      <c r="T63" s="323"/>
      <c r="U63" s="323"/>
      <c r="V63" s="323"/>
      <c r="W63" s="323"/>
      <c r="X63" s="323"/>
      <c r="Y63" s="323"/>
      <c r="Z63" s="323"/>
      <c r="AA63" s="323"/>
      <c r="AB63" s="323"/>
      <c r="AC63" s="323"/>
      <c r="AD63" s="323"/>
      <c r="AE63" s="323"/>
      <c r="AG63" s="195"/>
      <c r="AH63" s="323"/>
      <c r="AI63" s="323"/>
      <c r="AJ63" s="323"/>
      <c r="AK63" s="323"/>
      <c r="AL63" s="323"/>
      <c r="AM63" s="323"/>
      <c r="AN63" s="323"/>
      <c r="AO63" s="323"/>
      <c r="AP63" s="323"/>
      <c r="AQ63" s="323"/>
      <c r="AR63" s="323"/>
      <c r="AS63" s="323"/>
      <c r="AT63" s="323"/>
      <c r="AU63" s="323"/>
    </row>
    <row r="64" spans="1:47" s="196" customFormat="1" ht="11.25" customHeight="1" x14ac:dyDescent="0.15">
      <c r="A64" s="195"/>
      <c r="B64" s="323"/>
      <c r="C64" s="323"/>
      <c r="D64" s="323"/>
      <c r="E64" s="323"/>
      <c r="F64" s="323"/>
      <c r="G64" s="323"/>
      <c r="H64" s="323"/>
      <c r="I64" s="323"/>
      <c r="J64" s="323"/>
      <c r="K64" s="323"/>
      <c r="L64" s="323"/>
      <c r="M64" s="323"/>
      <c r="N64" s="323"/>
      <c r="O64" s="323"/>
      <c r="Q64" s="195"/>
      <c r="R64" s="323"/>
      <c r="S64" s="323"/>
      <c r="T64" s="323"/>
      <c r="U64" s="323"/>
      <c r="V64" s="323"/>
      <c r="W64" s="323"/>
      <c r="X64" s="323"/>
      <c r="Y64" s="323"/>
      <c r="Z64" s="323"/>
      <c r="AA64" s="323"/>
      <c r="AB64" s="323"/>
      <c r="AC64" s="323"/>
      <c r="AD64" s="323"/>
      <c r="AE64" s="323"/>
      <c r="AG64" s="195"/>
      <c r="AH64" s="323"/>
      <c r="AI64" s="323"/>
      <c r="AJ64" s="323"/>
      <c r="AK64" s="323"/>
      <c r="AL64" s="323"/>
      <c r="AM64" s="323"/>
      <c r="AN64" s="323"/>
      <c r="AO64" s="323"/>
      <c r="AP64" s="323"/>
      <c r="AQ64" s="323"/>
      <c r="AR64" s="323"/>
      <c r="AS64" s="323"/>
      <c r="AT64" s="323"/>
      <c r="AU64" s="323"/>
    </row>
    <row r="65" spans="1:47" s="196" customFormat="1" ht="11.25" customHeight="1" x14ac:dyDescent="0.15">
      <c r="A65" s="195"/>
      <c r="B65" s="323"/>
      <c r="C65" s="323"/>
      <c r="D65" s="323"/>
      <c r="E65" s="323"/>
      <c r="F65" s="323"/>
      <c r="G65" s="323"/>
      <c r="H65" s="323"/>
      <c r="I65" s="323"/>
      <c r="J65" s="323"/>
      <c r="K65" s="323"/>
      <c r="L65" s="323"/>
      <c r="M65" s="323"/>
      <c r="N65" s="323"/>
      <c r="O65" s="323"/>
      <c r="Q65" s="195"/>
      <c r="R65" s="323"/>
      <c r="S65" s="323"/>
      <c r="T65" s="323"/>
      <c r="U65" s="323"/>
      <c r="V65" s="323"/>
      <c r="W65" s="323"/>
      <c r="X65" s="323"/>
      <c r="Y65" s="323"/>
      <c r="Z65" s="323"/>
      <c r="AA65" s="323"/>
      <c r="AB65" s="323"/>
      <c r="AC65" s="323"/>
      <c r="AD65" s="323"/>
      <c r="AE65" s="323"/>
      <c r="AG65" s="195"/>
      <c r="AH65" s="323"/>
      <c r="AI65" s="323"/>
      <c r="AJ65" s="323"/>
      <c r="AK65" s="323"/>
      <c r="AL65" s="323"/>
      <c r="AM65" s="323"/>
      <c r="AN65" s="323"/>
      <c r="AO65" s="323"/>
      <c r="AP65" s="323"/>
      <c r="AQ65" s="323"/>
      <c r="AR65" s="323"/>
      <c r="AS65" s="323"/>
      <c r="AT65" s="323"/>
      <c r="AU65" s="323"/>
    </row>
    <row r="66" spans="1:47" s="196" customFormat="1" ht="11.25" customHeight="1" x14ac:dyDescent="0.15">
      <c r="A66" s="195"/>
      <c r="B66" s="323"/>
      <c r="C66" s="323"/>
      <c r="D66" s="323"/>
      <c r="E66" s="323"/>
      <c r="F66" s="323"/>
      <c r="G66" s="323"/>
      <c r="H66" s="323"/>
      <c r="I66" s="323"/>
      <c r="J66" s="323"/>
      <c r="K66" s="323"/>
      <c r="L66" s="323"/>
      <c r="M66" s="323"/>
      <c r="N66" s="323"/>
      <c r="O66" s="323"/>
      <c r="Q66" s="195"/>
      <c r="R66" s="323"/>
      <c r="S66" s="323"/>
      <c r="T66" s="323"/>
      <c r="U66" s="323"/>
      <c r="V66" s="323"/>
      <c r="W66" s="323"/>
      <c r="X66" s="323"/>
      <c r="Y66" s="323"/>
      <c r="Z66" s="323"/>
      <c r="AA66" s="323"/>
      <c r="AB66" s="323"/>
      <c r="AC66" s="323"/>
      <c r="AD66" s="323"/>
      <c r="AE66" s="323"/>
      <c r="AG66" s="195"/>
      <c r="AH66" s="323"/>
      <c r="AI66" s="323"/>
      <c r="AJ66" s="323"/>
      <c r="AK66" s="323"/>
      <c r="AL66" s="323"/>
      <c r="AM66" s="323"/>
      <c r="AN66" s="323"/>
      <c r="AO66" s="323"/>
      <c r="AP66" s="323"/>
      <c r="AQ66" s="323"/>
      <c r="AR66" s="323"/>
      <c r="AS66" s="323"/>
      <c r="AT66" s="323"/>
      <c r="AU66" s="323"/>
    </row>
    <row r="67" spans="1:47" s="196" customFormat="1" ht="9" customHeight="1" x14ac:dyDescent="0.15">
      <c r="A67" s="195"/>
      <c r="B67" s="322" t="str">
        <f>IF(計算シート!$M$78&gt;=10,10,"")</f>
        <v/>
      </c>
      <c r="C67" s="322" t="str">
        <f>IF(B67="","",INDEX(計算シート!$E$2:$M$77,MATCH(B67,計算シート!$E$2:$E$77,0),2))</f>
        <v/>
      </c>
      <c r="D67" s="322"/>
      <c r="E67" s="322" t="str">
        <f>IF(B67="","",INDEX(計算シート!$E$2:$M$77,MATCH(B67,計算シート!$E$2:$E$77,0),3))</f>
        <v/>
      </c>
      <c r="F67" s="322"/>
      <c r="G67" s="322"/>
      <c r="H67" s="322"/>
      <c r="I67" s="322" t="str">
        <f>IF(計算シート!$M$78&gt;=21,21,"")</f>
        <v/>
      </c>
      <c r="J67" s="322" t="str">
        <f>IF(I67="","",INDEX(計算シート!$E$2:$M$77,MATCH(I67,計算シート!$E$2:$E$77,0),2))</f>
        <v/>
      </c>
      <c r="K67" s="322"/>
      <c r="L67" s="322" t="str">
        <f>IF(I67="","",INDEX(計算シート!$E$2:$M$77,MATCH(I67,計算シート!$E$2:$E$77,0),3))</f>
        <v/>
      </c>
      <c r="M67" s="322"/>
      <c r="N67" s="322"/>
      <c r="O67" s="322"/>
      <c r="Q67" s="195"/>
      <c r="R67" s="322" t="str">
        <f>IF(計算シート!$M$78&gt;=33,33,"")</f>
        <v/>
      </c>
      <c r="S67" s="322" t="str">
        <f>IF(R67="","",INDEX(計算シート!$E$2:$M$77,MATCH(R67,計算シート!$E$2:$E$77,0),2))</f>
        <v/>
      </c>
      <c r="T67" s="322"/>
      <c r="U67" s="322" t="str">
        <f>IF(R67="","",INDEX(計算シート!$E$2:$M$77,MATCH(R67,計算シート!$E$2:$E$77,0),3))</f>
        <v/>
      </c>
      <c r="V67" s="322"/>
      <c r="W67" s="322"/>
      <c r="X67" s="322"/>
      <c r="Y67" s="322" t="str">
        <f>IF(計算シート!$M$78&gt;=45,45,"")</f>
        <v/>
      </c>
      <c r="Z67" s="322" t="str">
        <f>IF(Y67="","",INDEX(計算シート!$E$2:$M$77,MATCH(Y67,計算シート!$E$2:$E$77,0),2))</f>
        <v/>
      </c>
      <c r="AA67" s="322"/>
      <c r="AB67" s="322" t="str">
        <f>IF(Y67="","",INDEX(計算シート!$E$2:$M$77,MATCH(Y67,計算シート!$E$2:$E$77,0),3))</f>
        <v/>
      </c>
      <c r="AC67" s="322"/>
      <c r="AD67" s="322"/>
      <c r="AE67" s="322"/>
      <c r="AG67" s="195"/>
      <c r="AH67" s="322" t="str">
        <f>IF(計算シート!$M$78&gt;=57,57,"")</f>
        <v/>
      </c>
      <c r="AI67" s="322" t="str">
        <f>IF(AH67="","",INDEX(計算シート!$E$2:$M$77,MATCH(AH67,計算シート!$E$2:$E$77,0),2))</f>
        <v/>
      </c>
      <c r="AJ67" s="322"/>
      <c r="AK67" s="322" t="str">
        <f>IF(AH67="","",INDEX(計算シート!$E$2:$M$77,MATCH(AH67,計算シート!$E$2:$E$77,0),3))</f>
        <v/>
      </c>
      <c r="AL67" s="322"/>
      <c r="AM67" s="322"/>
      <c r="AN67" s="322"/>
      <c r="AO67" s="322" t="str">
        <f>IF(計算シート!$M$78&gt;=69,69,"")</f>
        <v/>
      </c>
      <c r="AP67" s="322" t="str">
        <f>IF(AO67="","",INDEX(計算シート!$E$2:$M$77,MATCH(AO67,計算シート!$E$2:$E$77,0),2))</f>
        <v/>
      </c>
      <c r="AQ67" s="322"/>
      <c r="AR67" s="322" t="str">
        <f>IF(AO67="","",INDEX(計算シート!$E$2:$M$77,MATCH(AO67,計算シート!$E$2:$E$77,0),3))</f>
        <v/>
      </c>
      <c r="AS67" s="322"/>
      <c r="AT67" s="322"/>
      <c r="AU67" s="322"/>
    </row>
    <row r="68" spans="1:47" s="196" customFormat="1" ht="9" customHeight="1" x14ac:dyDescent="0.15">
      <c r="A68" s="195"/>
      <c r="B68" s="322"/>
      <c r="C68" s="322"/>
      <c r="D68" s="322"/>
      <c r="E68" s="322"/>
      <c r="F68" s="322"/>
      <c r="G68" s="322"/>
      <c r="H68" s="322"/>
      <c r="I68" s="322"/>
      <c r="J68" s="322"/>
      <c r="K68" s="322"/>
      <c r="L68" s="322"/>
      <c r="M68" s="322"/>
      <c r="N68" s="322"/>
      <c r="O68" s="322"/>
      <c r="Q68" s="195"/>
      <c r="R68" s="322"/>
      <c r="S68" s="322"/>
      <c r="T68" s="322"/>
      <c r="U68" s="322"/>
      <c r="V68" s="322"/>
      <c r="W68" s="322"/>
      <c r="X68" s="322"/>
      <c r="Y68" s="322"/>
      <c r="Z68" s="322"/>
      <c r="AA68" s="322"/>
      <c r="AB68" s="322"/>
      <c r="AC68" s="322"/>
      <c r="AD68" s="322"/>
      <c r="AE68" s="322"/>
      <c r="AG68" s="195"/>
      <c r="AH68" s="322"/>
      <c r="AI68" s="322"/>
      <c r="AJ68" s="322"/>
      <c r="AK68" s="322"/>
      <c r="AL68" s="322"/>
      <c r="AM68" s="322"/>
      <c r="AN68" s="322"/>
      <c r="AO68" s="322"/>
      <c r="AP68" s="322"/>
      <c r="AQ68" s="322"/>
      <c r="AR68" s="322"/>
      <c r="AS68" s="322"/>
      <c r="AT68" s="322"/>
      <c r="AU68" s="322"/>
    </row>
    <row r="69" spans="1:47" s="196" customFormat="1" ht="11.25" customHeight="1" x14ac:dyDescent="0.15">
      <c r="A69" s="195"/>
      <c r="B69" s="323" t="str">
        <f>IF(B67="","",INDEX(計算シート!$E$2:$M$77,MATCH(B67,計算シート!$E$2:$E$77,0),9))</f>
        <v/>
      </c>
      <c r="C69" s="323"/>
      <c r="D69" s="323"/>
      <c r="E69" s="323"/>
      <c r="F69" s="323"/>
      <c r="G69" s="323"/>
      <c r="H69" s="323"/>
      <c r="I69" s="323" t="str">
        <f>IF(I67="","",INDEX(計算シート!$E$2:$M$77,MATCH(I67,計算シート!$E$2:$E$77,0),9))</f>
        <v/>
      </c>
      <c r="J69" s="323"/>
      <c r="K69" s="323"/>
      <c r="L69" s="323"/>
      <c r="M69" s="323"/>
      <c r="N69" s="323"/>
      <c r="O69" s="323"/>
      <c r="Q69" s="195"/>
      <c r="R69" s="323" t="str">
        <f>IF(R67="","",INDEX(計算シート!$E$2:$M$77,MATCH(R67,計算シート!$E$2:$E$77,0),9))</f>
        <v/>
      </c>
      <c r="S69" s="323"/>
      <c r="T69" s="323"/>
      <c r="U69" s="323"/>
      <c r="V69" s="323"/>
      <c r="W69" s="323"/>
      <c r="X69" s="323"/>
      <c r="Y69" s="323" t="str">
        <f>IF(Y67="","",INDEX(計算シート!$E$2:$M$77,MATCH(Y67,計算シート!$E$2:$E$77,0),9))</f>
        <v/>
      </c>
      <c r="Z69" s="323"/>
      <c r="AA69" s="323"/>
      <c r="AB69" s="323"/>
      <c r="AC69" s="323"/>
      <c r="AD69" s="323"/>
      <c r="AE69" s="323"/>
      <c r="AG69" s="195"/>
      <c r="AH69" s="323" t="str">
        <f>IF(AH67="","",INDEX(計算シート!$E$2:$M$77,MATCH(AH67,計算シート!$E$2:$E$77,0),9))</f>
        <v/>
      </c>
      <c r="AI69" s="323"/>
      <c r="AJ69" s="323"/>
      <c r="AK69" s="323"/>
      <c r="AL69" s="323"/>
      <c r="AM69" s="323"/>
      <c r="AN69" s="323"/>
      <c r="AO69" s="323" t="str">
        <f>IF(AO67="","",INDEX(計算シート!$E$2:$M$77,MATCH(AO67,計算シート!$E$2:$E$77,0),9))</f>
        <v/>
      </c>
      <c r="AP69" s="323"/>
      <c r="AQ69" s="323"/>
      <c r="AR69" s="323"/>
      <c r="AS69" s="323"/>
      <c r="AT69" s="323"/>
      <c r="AU69" s="323"/>
    </row>
    <row r="70" spans="1:47" s="196" customFormat="1" ht="11.25" customHeight="1" x14ac:dyDescent="0.15">
      <c r="A70" s="195"/>
      <c r="B70" s="323"/>
      <c r="C70" s="323"/>
      <c r="D70" s="323"/>
      <c r="E70" s="323"/>
      <c r="F70" s="323"/>
      <c r="G70" s="323"/>
      <c r="H70" s="323"/>
      <c r="I70" s="323"/>
      <c r="J70" s="323"/>
      <c r="K70" s="323"/>
      <c r="L70" s="323"/>
      <c r="M70" s="323"/>
      <c r="N70" s="323"/>
      <c r="O70" s="323"/>
      <c r="Q70" s="195"/>
      <c r="R70" s="323"/>
      <c r="S70" s="323"/>
      <c r="T70" s="323"/>
      <c r="U70" s="323"/>
      <c r="V70" s="323"/>
      <c r="W70" s="323"/>
      <c r="X70" s="323"/>
      <c r="Y70" s="323"/>
      <c r="Z70" s="323"/>
      <c r="AA70" s="323"/>
      <c r="AB70" s="323"/>
      <c r="AC70" s="323"/>
      <c r="AD70" s="323"/>
      <c r="AE70" s="323"/>
      <c r="AG70" s="195"/>
      <c r="AH70" s="323"/>
      <c r="AI70" s="323"/>
      <c r="AJ70" s="323"/>
      <c r="AK70" s="323"/>
      <c r="AL70" s="323"/>
      <c r="AM70" s="323"/>
      <c r="AN70" s="323"/>
      <c r="AO70" s="323"/>
      <c r="AP70" s="323"/>
      <c r="AQ70" s="323"/>
      <c r="AR70" s="323"/>
      <c r="AS70" s="323"/>
      <c r="AT70" s="323"/>
      <c r="AU70" s="323"/>
    </row>
    <row r="71" spans="1:47" s="196" customFormat="1" ht="11.25" customHeight="1" x14ac:dyDescent="0.15">
      <c r="A71" s="195"/>
      <c r="B71" s="323"/>
      <c r="C71" s="323"/>
      <c r="D71" s="323"/>
      <c r="E71" s="323"/>
      <c r="F71" s="323"/>
      <c r="G71" s="323"/>
      <c r="H71" s="323"/>
      <c r="I71" s="323"/>
      <c r="J71" s="323"/>
      <c r="K71" s="323"/>
      <c r="L71" s="323"/>
      <c r="M71" s="323"/>
      <c r="N71" s="323"/>
      <c r="O71" s="323"/>
      <c r="Q71" s="195"/>
      <c r="R71" s="323"/>
      <c r="S71" s="323"/>
      <c r="T71" s="323"/>
      <c r="U71" s="323"/>
      <c r="V71" s="323"/>
      <c r="W71" s="323"/>
      <c r="X71" s="323"/>
      <c r="Y71" s="323"/>
      <c r="Z71" s="323"/>
      <c r="AA71" s="323"/>
      <c r="AB71" s="323"/>
      <c r="AC71" s="323"/>
      <c r="AD71" s="323"/>
      <c r="AE71" s="323"/>
      <c r="AG71" s="195"/>
      <c r="AH71" s="323"/>
      <c r="AI71" s="323"/>
      <c r="AJ71" s="323"/>
      <c r="AK71" s="323"/>
      <c r="AL71" s="323"/>
      <c r="AM71" s="323"/>
      <c r="AN71" s="323"/>
      <c r="AO71" s="323"/>
      <c r="AP71" s="323"/>
      <c r="AQ71" s="323"/>
      <c r="AR71" s="323"/>
      <c r="AS71" s="323"/>
      <c r="AT71" s="323"/>
      <c r="AU71" s="323"/>
    </row>
    <row r="72" spans="1:47" s="196" customFormat="1" ht="11.25" customHeight="1" x14ac:dyDescent="0.15">
      <c r="A72" s="195"/>
      <c r="B72" s="323"/>
      <c r="C72" s="323"/>
      <c r="D72" s="323"/>
      <c r="E72" s="323"/>
      <c r="F72" s="323"/>
      <c r="G72" s="323"/>
      <c r="H72" s="323"/>
      <c r="I72" s="323"/>
      <c r="J72" s="323"/>
      <c r="K72" s="323"/>
      <c r="L72" s="323"/>
      <c r="M72" s="323"/>
      <c r="N72" s="323"/>
      <c r="O72" s="323"/>
      <c r="Q72" s="195"/>
      <c r="R72" s="323"/>
      <c r="S72" s="323"/>
      <c r="T72" s="323"/>
      <c r="U72" s="323"/>
      <c r="V72" s="323"/>
      <c r="W72" s="323"/>
      <c r="X72" s="323"/>
      <c r="Y72" s="323"/>
      <c r="Z72" s="323"/>
      <c r="AA72" s="323"/>
      <c r="AB72" s="323"/>
      <c r="AC72" s="323"/>
      <c r="AD72" s="323"/>
      <c r="AE72" s="323"/>
      <c r="AG72" s="195"/>
      <c r="AH72" s="323"/>
      <c r="AI72" s="323"/>
      <c r="AJ72" s="323"/>
      <c r="AK72" s="323"/>
      <c r="AL72" s="323"/>
      <c r="AM72" s="323"/>
      <c r="AN72" s="323"/>
      <c r="AO72" s="323"/>
      <c r="AP72" s="323"/>
      <c r="AQ72" s="323"/>
      <c r="AR72" s="323"/>
      <c r="AS72" s="323"/>
      <c r="AT72" s="323"/>
      <c r="AU72" s="323"/>
    </row>
    <row r="73" spans="1:47" s="196" customFormat="1" ht="11.25" customHeight="1" x14ac:dyDescent="0.15">
      <c r="A73" s="195"/>
      <c r="B73" s="323"/>
      <c r="C73" s="323"/>
      <c r="D73" s="323"/>
      <c r="E73" s="323"/>
      <c r="F73" s="323"/>
      <c r="G73" s="323"/>
      <c r="H73" s="323"/>
      <c r="I73" s="323"/>
      <c r="J73" s="323"/>
      <c r="K73" s="323"/>
      <c r="L73" s="323"/>
      <c r="M73" s="323"/>
      <c r="N73" s="323"/>
      <c r="O73" s="323"/>
      <c r="Q73" s="195"/>
      <c r="R73" s="323"/>
      <c r="S73" s="323"/>
      <c r="T73" s="323"/>
      <c r="U73" s="323"/>
      <c r="V73" s="323"/>
      <c r="W73" s="323"/>
      <c r="X73" s="323"/>
      <c r="Y73" s="323"/>
      <c r="Z73" s="323"/>
      <c r="AA73" s="323"/>
      <c r="AB73" s="323"/>
      <c r="AC73" s="323"/>
      <c r="AD73" s="323"/>
      <c r="AE73" s="323"/>
      <c r="AG73" s="195"/>
      <c r="AH73" s="323"/>
      <c r="AI73" s="323"/>
      <c r="AJ73" s="323"/>
      <c r="AK73" s="323"/>
      <c r="AL73" s="323"/>
      <c r="AM73" s="323"/>
      <c r="AN73" s="323"/>
      <c r="AO73" s="323"/>
      <c r="AP73" s="323"/>
      <c r="AQ73" s="323"/>
      <c r="AR73" s="323"/>
      <c r="AS73" s="323"/>
      <c r="AT73" s="323"/>
      <c r="AU73" s="323"/>
    </row>
    <row r="74" spans="1:47" s="196" customFormat="1" ht="9" customHeight="1" x14ac:dyDescent="0.15">
      <c r="A74" s="195"/>
      <c r="B74" s="322" t="str">
        <f>IF(計算シート!$M$78&gt;=11,11,"")</f>
        <v/>
      </c>
      <c r="C74" s="322" t="str">
        <f>IF(B74="","",INDEX(計算シート!$E$2:$M$77,MATCH(B74,計算シート!$E$2:$E$77,0),2))</f>
        <v/>
      </c>
      <c r="D74" s="322"/>
      <c r="E74" s="322" t="str">
        <f>IF(B74="","",INDEX(計算シート!$E$2:$M$77,MATCH(B74,計算シート!$E$2:$E$77,0),3))</f>
        <v/>
      </c>
      <c r="F74" s="322"/>
      <c r="G74" s="322"/>
      <c r="H74" s="322"/>
      <c r="I74" s="322" t="str">
        <f>IF(計算シート!$M$78&gt;=22,22,"")</f>
        <v/>
      </c>
      <c r="J74" s="322" t="str">
        <f>IF(I74="","",INDEX(計算シート!$E$2:$M$77,MATCH(I74,計算シート!$E$2:$E$77,0),2))</f>
        <v/>
      </c>
      <c r="K74" s="322"/>
      <c r="L74" s="322" t="str">
        <f>IF(I74="","",INDEX(計算シート!$E$2:$M$77,MATCH(I74,計算シート!$E$2:$E$77,0),3))</f>
        <v/>
      </c>
      <c r="M74" s="322"/>
      <c r="N74" s="322"/>
      <c r="O74" s="322"/>
      <c r="Q74" s="195"/>
      <c r="R74" s="322" t="str">
        <f>IF(計算シート!$M$78&gt;=34,34,"")</f>
        <v/>
      </c>
      <c r="S74" s="322" t="str">
        <f>IF(R74="","",INDEX(計算シート!$E$2:$M$77,MATCH(R74,計算シート!$E$2:$E$77,0),2))</f>
        <v/>
      </c>
      <c r="T74" s="322"/>
      <c r="U74" s="322" t="str">
        <f>IF(R74="","",INDEX(計算シート!$E$2:$M$77,MATCH(R74,計算シート!$E$2:$E$77,0),3))</f>
        <v/>
      </c>
      <c r="V74" s="322"/>
      <c r="W74" s="322"/>
      <c r="X74" s="322"/>
      <c r="Y74" s="322" t="str">
        <f>IF(計算シート!$M$78&gt;=46,46,"")</f>
        <v/>
      </c>
      <c r="Z74" s="322" t="str">
        <f>IF(Y74="","",INDEX(計算シート!$E$2:$M$77,MATCH(Y74,計算シート!$E$2:$E$77,0),2))</f>
        <v/>
      </c>
      <c r="AA74" s="322"/>
      <c r="AB74" s="322" t="str">
        <f>IF(Y74="","",INDEX(計算シート!$E$2:$M$77,MATCH(Y74,計算シート!$E$2:$E$77,0),3))</f>
        <v/>
      </c>
      <c r="AC74" s="322"/>
      <c r="AD74" s="322"/>
      <c r="AE74" s="322"/>
      <c r="AG74" s="195"/>
      <c r="AH74" s="322" t="str">
        <f>IF(計算シート!$M$78&gt;=58,58,"")</f>
        <v/>
      </c>
      <c r="AI74" s="322" t="str">
        <f>IF(AH74="","",INDEX(計算シート!$E$2:$M$77,MATCH(AH74,計算シート!$E$2:$E$77,0),2))</f>
        <v/>
      </c>
      <c r="AJ74" s="322"/>
      <c r="AK74" s="322" t="str">
        <f>IF(AH74="","",INDEX(計算シート!$E$2:$M$77,MATCH(AH74,計算シート!$E$2:$E$77,0),3))</f>
        <v/>
      </c>
      <c r="AL74" s="322"/>
      <c r="AM74" s="322"/>
      <c r="AN74" s="322"/>
      <c r="AO74" s="322" t="str">
        <f>IF(計算シート!$M$78&gt;=70,70,"")</f>
        <v/>
      </c>
      <c r="AP74" s="322" t="str">
        <f>IF(AO74="","",INDEX(計算シート!$E$2:$M$77,MATCH(AO74,計算シート!$E$2:$E$77,0),2))</f>
        <v/>
      </c>
      <c r="AQ74" s="322"/>
      <c r="AR74" s="322" t="str">
        <f>IF(AO74="","",INDEX(計算シート!$E$2:$M$77,MATCH(AO74,計算シート!$E$2:$E$77,0),3))</f>
        <v/>
      </c>
      <c r="AS74" s="322"/>
      <c r="AT74" s="322"/>
      <c r="AU74" s="322"/>
    </row>
    <row r="75" spans="1:47" s="196" customFormat="1" ht="9" customHeight="1" x14ac:dyDescent="0.15">
      <c r="A75" s="195"/>
      <c r="B75" s="322"/>
      <c r="C75" s="322"/>
      <c r="D75" s="322"/>
      <c r="E75" s="322"/>
      <c r="F75" s="322"/>
      <c r="G75" s="322"/>
      <c r="H75" s="322"/>
      <c r="I75" s="322"/>
      <c r="J75" s="322"/>
      <c r="K75" s="322"/>
      <c r="L75" s="322"/>
      <c r="M75" s="322"/>
      <c r="N75" s="322"/>
      <c r="O75" s="322"/>
      <c r="Q75" s="195"/>
      <c r="R75" s="322"/>
      <c r="S75" s="322"/>
      <c r="T75" s="322"/>
      <c r="U75" s="322"/>
      <c r="V75" s="322"/>
      <c r="W75" s="322"/>
      <c r="X75" s="322"/>
      <c r="Y75" s="322"/>
      <c r="Z75" s="322"/>
      <c r="AA75" s="322"/>
      <c r="AB75" s="322"/>
      <c r="AC75" s="322"/>
      <c r="AD75" s="322"/>
      <c r="AE75" s="322"/>
      <c r="AG75" s="195"/>
      <c r="AH75" s="322"/>
      <c r="AI75" s="322"/>
      <c r="AJ75" s="322"/>
      <c r="AK75" s="322"/>
      <c r="AL75" s="322"/>
      <c r="AM75" s="322"/>
      <c r="AN75" s="322"/>
      <c r="AO75" s="322"/>
      <c r="AP75" s="322"/>
      <c r="AQ75" s="322"/>
      <c r="AR75" s="322"/>
      <c r="AS75" s="322"/>
      <c r="AT75" s="322"/>
      <c r="AU75" s="322"/>
    </row>
    <row r="76" spans="1:47" s="196" customFormat="1" ht="11.25" customHeight="1" x14ac:dyDescent="0.15">
      <c r="A76" s="195"/>
      <c r="B76" s="323" t="str">
        <f>IF(B74="","",INDEX(計算シート!$E$2:$M$77,MATCH(B74,計算シート!$E$2:$E$77,0),9))</f>
        <v/>
      </c>
      <c r="C76" s="323"/>
      <c r="D76" s="323"/>
      <c r="E76" s="323"/>
      <c r="F76" s="323"/>
      <c r="G76" s="323"/>
      <c r="H76" s="323"/>
      <c r="I76" s="323" t="str">
        <f>IF(I74="","",INDEX(計算シート!$E$2:$M$77,MATCH(I74,計算シート!$E$2:$E$77,0),9))</f>
        <v/>
      </c>
      <c r="J76" s="323"/>
      <c r="K76" s="323"/>
      <c r="L76" s="323"/>
      <c r="M76" s="323"/>
      <c r="N76" s="323"/>
      <c r="O76" s="323"/>
      <c r="Q76" s="195"/>
      <c r="R76" s="323" t="str">
        <f>IF(R74="","",INDEX(計算シート!$E$2:$M$77,MATCH(R74,計算シート!$E$2:$E$77,0),9))</f>
        <v/>
      </c>
      <c r="S76" s="323"/>
      <c r="T76" s="323"/>
      <c r="U76" s="323"/>
      <c r="V76" s="323"/>
      <c r="W76" s="323"/>
      <c r="X76" s="323"/>
      <c r="Y76" s="323" t="str">
        <f>IF(Y74="","",INDEX(計算シート!$E$2:$M$77,MATCH(Y74,計算シート!$E$2:$E$77,0),9))</f>
        <v/>
      </c>
      <c r="Z76" s="323"/>
      <c r="AA76" s="323"/>
      <c r="AB76" s="323"/>
      <c r="AC76" s="323"/>
      <c r="AD76" s="323"/>
      <c r="AE76" s="323"/>
      <c r="AG76" s="195"/>
      <c r="AH76" s="323" t="str">
        <f>IF(AH74="","",INDEX(計算シート!$E$2:$M$77,MATCH(AH74,計算シート!$E$2:$E$77,0),9))</f>
        <v/>
      </c>
      <c r="AI76" s="323"/>
      <c r="AJ76" s="323"/>
      <c r="AK76" s="323"/>
      <c r="AL76" s="323"/>
      <c r="AM76" s="323"/>
      <c r="AN76" s="323"/>
      <c r="AO76" s="323" t="str">
        <f>IF(AO74="","",INDEX(計算シート!$E$2:$M$77,MATCH(AO74,計算シート!$E$2:$E$77,0),9))</f>
        <v/>
      </c>
      <c r="AP76" s="323"/>
      <c r="AQ76" s="323"/>
      <c r="AR76" s="323"/>
      <c r="AS76" s="323"/>
      <c r="AT76" s="323"/>
      <c r="AU76" s="323"/>
    </row>
    <row r="77" spans="1:47" s="196" customFormat="1" ht="11.25" customHeight="1" x14ac:dyDescent="0.15">
      <c r="A77" s="195"/>
      <c r="B77" s="323"/>
      <c r="C77" s="323"/>
      <c r="D77" s="323"/>
      <c r="E77" s="323"/>
      <c r="F77" s="323"/>
      <c r="G77" s="323"/>
      <c r="H77" s="323"/>
      <c r="I77" s="323"/>
      <c r="J77" s="323"/>
      <c r="K77" s="323"/>
      <c r="L77" s="323"/>
      <c r="M77" s="323"/>
      <c r="N77" s="323"/>
      <c r="O77" s="323"/>
      <c r="Q77" s="195"/>
      <c r="R77" s="323"/>
      <c r="S77" s="323"/>
      <c r="T77" s="323"/>
      <c r="U77" s="323"/>
      <c r="V77" s="323"/>
      <c r="W77" s="323"/>
      <c r="X77" s="323"/>
      <c r="Y77" s="323"/>
      <c r="Z77" s="323"/>
      <c r="AA77" s="323"/>
      <c r="AB77" s="323"/>
      <c r="AC77" s="323"/>
      <c r="AD77" s="323"/>
      <c r="AE77" s="323"/>
      <c r="AG77" s="195"/>
      <c r="AH77" s="323"/>
      <c r="AI77" s="323"/>
      <c r="AJ77" s="323"/>
      <c r="AK77" s="323"/>
      <c r="AL77" s="323"/>
      <c r="AM77" s="323"/>
      <c r="AN77" s="323"/>
      <c r="AO77" s="323"/>
      <c r="AP77" s="323"/>
      <c r="AQ77" s="323"/>
      <c r="AR77" s="323"/>
      <c r="AS77" s="323"/>
      <c r="AT77" s="323"/>
      <c r="AU77" s="323"/>
    </row>
    <row r="78" spans="1:47" s="196" customFormat="1" ht="11.25" customHeight="1" x14ac:dyDescent="0.15">
      <c r="A78" s="195"/>
      <c r="B78" s="323"/>
      <c r="C78" s="323"/>
      <c r="D78" s="323"/>
      <c r="E78" s="323"/>
      <c r="F78" s="323"/>
      <c r="G78" s="323"/>
      <c r="H78" s="323"/>
      <c r="I78" s="323"/>
      <c r="J78" s="323"/>
      <c r="K78" s="323"/>
      <c r="L78" s="323"/>
      <c r="M78" s="323"/>
      <c r="N78" s="323"/>
      <c r="O78" s="323"/>
      <c r="Q78" s="195"/>
      <c r="R78" s="323"/>
      <c r="S78" s="323"/>
      <c r="T78" s="323"/>
      <c r="U78" s="323"/>
      <c r="V78" s="323"/>
      <c r="W78" s="323"/>
      <c r="X78" s="323"/>
      <c r="Y78" s="323"/>
      <c r="Z78" s="323"/>
      <c r="AA78" s="323"/>
      <c r="AB78" s="323"/>
      <c r="AC78" s="323"/>
      <c r="AD78" s="323"/>
      <c r="AE78" s="323"/>
      <c r="AG78" s="195"/>
      <c r="AH78" s="323"/>
      <c r="AI78" s="323"/>
      <c r="AJ78" s="323"/>
      <c r="AK78" s="323"/>
      <c r="AL78" s="323"/>
      <c r="AM78" s="323"/>
      <c r="AN78" s="323"/>
      <c r="AO78" s="323"/>
      <c r="AP78" s="323"/>
      <c r="AQ78" s="323"/>
      <c r="AR78" s="323"/>
      <c r="AS78" s="323"/>
      <c r="AT78" s="323"/>
      <c r="AU78" s="323"/>
    </row>
    <row r="79" spans="1:47" s="196" customFormat="1" ht="11.25" customHeight="1" x14ac:dyDescent="0.15">
      <c r="A79" s="195"/>
      <c r="B79" s="323"/>
      <c r="C79" s="323"/>
      <c r="D79" s="323"/>
      <c r="E79" s="323"/>
      <c r="F79" s="323"/>
      <c r="G79" s="323"/>
      <c r="H79" s="323"/>
      <c r="I79" s="323"/>
      <c r="J79" s="323"/>
      <c r="K79" s="323"/>
      <c r="L79" s="323"/>
      <c r="M79" s="323"/>
      <c r="N79" s="323"/>
      <c r="O79" s="323"/>
      <c r="Q79" s="195"/>
      <c r="R79" s="323"/>
      <c r="S79" s="323"/>
      <c r="T79" s="323"/>
      <c r="U79" s="323"/>
      <c r="V79" s="323"/>
      <c r="W79" s="323"/>
      <c r="X79" s="323"/>
      <c r="Y79" s="323"/>
      <c r="Z79" s="323"/>
      <c r="AA79" s="323"/>
      <c r="AB79" s="323"/>
      <c r="AC79" s="323"/>
      <c r="AD79" s="323"/>
      <c r="AE79" s="323"/>
      <c r="AG79" s="195"/>
      <c r="AH79" s="323"/>
      <c r="AI79" s="323"/>
      <c r="AJ79" s="323"/>
      <c r="AK79" s="323"/>
      <c r="AL79" s="323"/>
      <c r="AM79" s="323"/>
      <c r="AN79" s="323"/>
      <c r="AO79" s="323"/>
      <c r="AP79" s="323"/>
      <c r="AQ79" s="323"/>
      <c r="AR79" s="323"/>
      <c r="AS79" s="323"/>
      <c r="AT79" s="323"/>
      <c r="AU79" s="323"/>
    </row>
    <row r="80" spans="1:47" s="196" customFormat="1" ht="11.25" customHeight="1" x14ac:dyDescent="0.15">
      <c r="A80" s="195"/>
      <c r="B80" s="323"/>
      <c r="C80" s="323"/>
      <c r="D80" s="323"/>
      <c r="E80" s="323"/>
      <c r="F80" s="323"/>
      <c r="G80" s="323"/>
      <c r="H80" s="323"/>
      <c r="I80" s="323"/>
      <c r="J80" s="323"/>
      <c r="K80" s="323"/>
      <c r="L80" s="323"/>
      <c r="M80" s="323"/>
      <c r="N80" s="323"/>
      <c r="O80" s="323"/>
      <c r="Q80" s="195"/>
      <c r="R80" s="323"/>
      <c r="S80" s="323"/>
      <c r="T80" s="323"/>
      <c r="U80" s="323"/>
      <c r="V80" s="323"/>
      <c r="W80" s="323"/>
      <c r="X80" s="323"/>
      <c r="Y80" s="323"/>
      <c r="Z80" s="323"/>
      <c r="AA80" s="323"/>
      <c r="AB80" s="323"/>
      <c r="AC80" s="323"/>
      <c r="AD80" s="323"/>
      <c r="AE80" s="323"/>
      <c r="AG80" s="195"/>
      <c r="AH80" s="323"/>
      <c r="AI80" s="323"/>
      <c r="AJ80" s="323"/>
      <c r="AK80" s="323"/>
      <c r="AL80" s="323"/>
      <c r="AM80" s="323"/>
      <c r="AN80" s="323"/>
      <c r="AO80" s="323"/>
      <c r="AP80" s="323"/>
      <c r="AQ80" s="323"/>
      <c r="AR80" s="323"/>
      <c r="AS80" s="323"/>
      <c r="AT80" s="323"/>
      <c r="AU80" s="323"/>
    </row>
    <row r="81" spans="1:47" s="196" customFormat="1" ht="9" customHeight="1" x14ac:dyDescent="0.15">
      <c r="A81" s="195"/>
      <c r="B81" s="322" t="str">
        <f>IF(計算シート!$M$78&gt;=12,12,"")</f>
        <v/>
      </c>
      <c r="C81" s="322" t="str">
        <f>IF(B81="","",INDEX(計算シート!$E$2:$M$77,MATCH(B81,計算シート!$E$2:$E$77,0),2))</f>
        <v/>
      </c>
      <c r="D81" s="322"/>
      <c r="E81" s="322" t="str">
        <f>IF(B81="","",INDEX(計算シート!$E$2:$M$77,MATCH(B81,計算シート!$E$2:$E$77,0),3))</f>
        <v/>
      </c>
      <c r="F81" s="322"/>
      <c r="G81" s="322"/>
      <c r="H81" s="322"/>
      <c r="I81" s="322" t="str">
        <f>IF(計算シート!$M$78&gt;=23,23,"")</f>
        <v/>
      </c>
      <c r="J81" s="322" t="str">
        <f>IF(I81="","",INDEX(計算シート!$E$2:$M$77,MATCH(I81,計算シート!$E$2:$E$77,0),2))</f>
        <v/>
      </c>
      <c r="K81" s="322"/>
      <c r="L81" s="322" t="str">
        <f>IF(I81="","",INDEX(計算シート!$E$2:$M$77,MATCH(I81,計算シート!$E$2:$E$77,0),3))</f>
        <v/>
      </c>
      <c r="M81" s="322"/>
      <c r="N81" s="322"/>
      <c r="O81" s="322"/>
      <c r="Q81" s="195"/>
      <c r="R81" s="322" t="str">
        <f>IF(計算シート!$M$78&gt;=35,35,"")</f>
        <v/>
      </c>
      <c r="S81" s="322" t="str">
        <f>IF(R81="","",INDEX(計算シート!$E$2:$M$77,MATCH(R81,計算シート!$E$2:$E$77,0),2))</f>
        <v/>
      </c>
      <c r="T81" s="322"/>
      <c r="U81" s="322" t="str">
        <f>IF(R81="","",INDEX(計算シート!$E$2:$M$77,MATCH(R81,計算シート!$E$2:$E$77,0),3))</f>
        <v/>
      </c>
      <c r="V81" s="322"/>
      <c r="W81" s="322"/>
      <c r="X81" s="322"/>
      <c r="Y81" s="322" t="str">
        <f>IF(計算シート!$M$78&gt;=47,47,"")</f>
        <v/>
      </c>
      <c r="Z81" s="322" t="str">
        <f>IF(Y81="","",INDEX(計算シート!$E$2:$M$77,MATCH(Y81,計算シート!$E$2:$E$77,0),2))</f>
        <v/>
      </c>
      <c r="AA81" s="322"/>
      <c r="AB81" s="322" t="str">
        <f>IF(Y81="","",INDEX(計算シート!$E$2:$M$77,MATCH(Y81,計算シート!$E$2:$E$77,0),3))</f>
        <v/>
      </c>
      <c r="AC81" s="322"/>
      <c r="AD81" s="322"/>
      <c r="AE81" s="322"/>
      <c r="AG81" s="195"/>
      <c r="AH81" s="322" t="str">
        <f>IF(計算シート!$M$78&gt;=59,59,"")</f>
        <v/>
      </c>
      <c r="AI81" s="322" t="str">
        <f>IF(AH81="","",INDEX(計算シート!$E$2:$M$77,MATCH(AH81,計算シート!$E$2:$E$77,0),2))</f>
        <v/>
      </c>
      <c r="AJ81" s="322"/>
      <c r="AK81" s="322" t="str">
        <f>IF(AH81="","",INDEX(計算シート!$E$2:$M$77,MATCH(AH81,計算シート!$E$2:$E$77,0),3))</f>
        <v/>
      </c>
      <c r="AL81" s="322"/>
      <c r="AM81" s="322"/>
      <c r="AN81" s="322"/>
      <c r="AO81" s="322" t="str">
        <f>IF(計算シート!$M$78&gt;=71,71,"")</f>
        <v/>
      </c>
      <c r="AP81" s="322" t="str">
        <f>IF(AO81="","",INDEX(計算シート!$E$2:$M$77,MATCH(AO81,計算シート!$E$2:$E$77,0),2))</f>
        <v/>
      </c>
      <c r="AQ81" s="322"/>
      <c r="AR81" s="322" t="str">
        <f>IF(AO81="","",INDEX(計算シート!$E$2:$M$77,MATCH(AO81,計算シート!$E$2:$E$77,0),3))</f>
        <v/>
      </c>
      <c r="AS81" s="322"/>
      <c r="AT81" s="322"/>
      <c r="AU81" s="322"/>
    </row>
    <row r="82" spans="1:47" s="196" customFormat="1" ht="9" customHeight="1" x14ac:dyDescent="0.15">
      <c r="A82" s="195"/>
      <c r="B82" s="322"/>
      <c r="C82" s="322"/>
      <c r="D82" s="322"/>
      <c r="E82" s="322"/>
      <c r="F82" s="322"/>
      <c r="G82" s="322"/>
      <c r="H82" s="322"/>
      <c r="I82" s="322"/>
      <c r="J82" s="322"/>
      <c r="K82" s="322"/>
      <c r="L82" s="322"/>
      <c r="M82" s="322"/>
      <c r="N82" s="322"/>
      <c r="O82" s="322"/>
      <c r="Q82" s="195"/>
      <c r="R82" s="322"/>
      <c r="S82" s="322"/>
      <c r="T82" s="322"/>
      <c r="U82" s="322"/>
      <c r="V82" s="322"/>
      <c r="W82" s="322"/>
      <c r="X82" s="322"/>
      <c r="Y82" s="322"/>
      <c r="Z82" s="322"/>
      <c r="AA82" s="322"/>
      <c r="AB82" s="322"/>
      <c r="AC82" s="322"/>
      <c r="AD82" s="322"/>
      <c r="AE82" s="322"/>
      <c r="AG82" s="195"/>
      <c r="AH82" s="322"/>
      <c r="AI82" s="322"/>
      <c r="AJ82" s="322"/>
      <c r="AK82" s="322"/>
      <c r="AL82" s="322"/>
      <c r="AM82" s="322"/>
      <c r="AN82" s="322"/>
      <c r="AO82" s="322"/>
      <c r="AP82" s="322"/>
      <c r="AQ82" s="322"/>
      <c r="AR82" s="322"/>
      <c r="AS82" s="322"/>
      <c r="AT82" s="322"/>
      <c r="AU82" s="322"/>
    </row>
    <row r="83" spans="1:47" s="196" customFormat="1" ht="11.25" customHeight="1" x14ac:dyDescent="0.15">
      <c r="A83" s="195"/>
      <c r="B83" s="323" t="str">
        <f>IF(B81="","",INDEX(計算シート!$E$2:$M$77,MATCH(B81,計算シート!$E$2:$E$77,0),9))</f>
        <v/>
      </c>
      <c r="C83" s="323"/>
      <c r="D83" s="323"/>
      <c r="E83" s="323"/>
      <c r="F83" s="323"/>
      <c r="G83" s="323"/>
      <c r="H83" s="323"/>
      <c r="I83" s="323" t="str">
        <f>IF(I81="","",INDEX(計算シート!$E$2:$M$77,MATCH(I81,計算シート!$E$2:$E$77,0),9))</f>
        <v/>
      </c>
      <c r="J83" s="323"/>
      <c r="K83" s="323"/>
      <c r="L83" s="323"/>
      <c r="M83" s="323"/>
      <c r="N83" s="323"/>
      <c r="O83" s="323"/>
      <c r="Q83" s="195"/>
      <c r="R83" s="323" t="str">
        <f>IF(R81="","",INDEX(計算シート!$E$2:$M$77,MATCH(R81,計算シート!$E$2:$E$77,0),9))</f>
        <v/>
      </c>
      <c r="S83" s="323"/>
      <c r="T83" s="323"/>
      <c r="U83" s="323"/>
      <c r="V83" s="323"/>
      <c r="W83" s="323"/>
      <c r="X83" s="323"/>
      <c r="Y83" s="323" t="str">
        <f>IF(Y81="","",INDEX(計算シート!$E$2:$M$77,MATCH(Y81,計算シート!$E$2:$E$77,0),9))</f>
        <v/>
      </c>
      <c r="Z83" s="323"/>
      <c r="AA83" s="323"/>
      <c r="AB83" s="323"/>
      <c r="AC83" s="323"/>
      <c r="AD83" s="323"/>
      <c r="AE83" s="323"/>
      <c r="AG83" s="195"/>
      <c r="AH83" s="323" t="str">
        <f>IF(AH81="","",INDEX(計算シート!$E$2:$M$77,MATCH(AH81,計算シート!$E$2:$E$77,0),9))</f>
        <v/>
      </c>
      <c r="AI83" s="323"/>
      <c r="AJ83" s="323"/>
      <c r="AK83" s="323"/>
      <c r="AL83" s="323"/>
      <c r="AM83" s="323"/>
      <c r="AN83" s="323"/>
      <c r="AO83" s="323" t="str">
        <f>IF(AO81="","",INDEX(計算シート!$E$2:$M$77,MATCH(AO81,計算シート!$E$2:$E$77,0),9))</f>
        <v/>
      </c>
      <c r="AP83" s="323"/>
      <c r="AQ83" s="323"/>
      <c r="AR83" s="323"/>
      <c r="AS83" s="323"/>
      <c r="AT83" s="323"/>
      <c r="AU83" s="323"/>
    </row>
    <row r="84" spans="1:47" s="196" customFormat="1" ht="11.25" customHeight="1" x14ac:dyDescent="0.15">
      <c r="A84" s="195"/>
      <c r="B84" s="323"/>
      <c r="C84" s="323"/>
      <c r="D84" s="323"/>
      <c r="E84" s="323"/>
      <c r="F84" s="323"/>
      <c r="G84" s="323"/>
      <c r="H84" s="323"/>
      <c r="I84" s="323"/>
      <c r="J84" s="323"/>
      <c r="K84" s="323"/>
      <c r="L84" s="323"/>
      <c r="M84" s="323"/>
      <c r="N84" s="323"/>
      <c r="O84" s="323"/>
      <c r="Q84" s="195"/>
      <c r="R84" s="323"/>
      <c r="S84" s="323"/>
      <c r="T84" s="323"/>
      <c r="U84" s="323"/>
      <c r="V84" s="323"/>
      <c r="W84" s="323"/>
      <c r="X84" s="323"/>
      <c r="Y84" s="323"/>
      <c r="Z84" s="323"/>
      <c r="AA84" s="323"/>
      <c r="AB84" s="323"/>
      <c r="AC84" s="323"/>
      <c r="AD84" s="323"/>
      <c r="AE84" s="323"/>
      <c r="AG84" s="195"/>
      <c r="AH84" s="323"/>
      <c r="AI84" s="323"/>
      <c r="AJ84" s="323"/>
      <c r="AK84" s="323"/>
      <c r="AL84" s="323"/>
      <c r="AM84" s="323"/>
      <c r="AN84" s="323"/>
      <c r="AO84" s="323"/>
      <c r="AP84" s="323"/>
      <c r="AQ84" s="323"/>
      <c r="AR84" s="323"/>
      <c r="AS84" s="323"/>
      <c r="AT84" s="323"/>
      <c r="AU84" s="323"/>
    </row>
    <row r="85" spans="1:47" s="196" customFormat="1" ht="11.25" customHeight="1" x14ac:dyDescent="0.15">
      <c r="A85" s="195"/>
      <c r="B85" s="323"/>
      <c r="C85" s="323"/>
      <c r="D85" s="323"/>
      <c r="E85" s="323"/>
      <c r="F85" s="323"/>
      <c r="G85" s="323"/>
      <c r="H85" s="323"/>
      <c r="I85" s="323"/>
      <c r="J85" s="323"/>
      <c r="K85" s="323"/>
      <c r="L85" s="323"/>
      <c r="M85" s="323"/>
      <c r="N85" s="323"/>
      <c r="O85" s="323"/>
      <c r="Q85" s="195"/>
      <c r="R85" s="323"/>
      <c r="S85" s="323"/>
      <c r="T85" s="323"/>
      <c r="U85" s="323"/>
      <c r="V85" s="323"/>
      <c r="W85" s="323"/>
      <c r="X85" s="323"/>
      <c r="Y85" s="323"/>
      <c r="Z85" s="323"/>
      <c r="AA85" s="323"/>
      <c r="AB85" s="323"/>
      <c r="AC85" s="323"/>
      <c r="AD85" s="323"/>
      <c r="AE85" s="323"/>
      <c r="AG85" s="195"/>
      <c r="AH85" s="323"/>
      <c r="AI85" s="323"/>
      <c r="AJ85" s="323"/>
      <c r="AK85" s="323"/>
      <c r="AL85" s="323"/>
      <c r="AM85" s="323"/>
      <c r="AN85" s="323"/>
      <c r="AO85" s="323"/>
      <c r="AP85" s="323"/>
      <c r="AQ85" s="323"/>
      <c r="AR85" s="323"/>
      <c r="AS85" s="323"/>
      <c r="AT85" s="323"/>
      <c r="AU85" s="323"/>
    </row>
    <row r="86" spans="1:47" s="196" customFormat="1" ht="11.25" customHeight="1" x14ac:dyDescent="0.15">
      <c r="A86" s="195"/>
      <c r="B86" s="323"/>
      <c r="C86" s="323"/>
      <c r="D86" s="323"/>
      <c r="E86" s="323"/>
      <c r="F86" s="323"/>
      <c r="G86" s="323"/>
      <c r="H86" s="323"/>
      <c r="I86" s="323"/>
      <c r="J86" s="323"/>
      <c r="K86" s="323"/>
      <c r="L86" s="323"/>
      <c r="M86" s="323"/>
      <c r="N86" s="323"/>
      <c r="O86" s="323"/>
      <c r="Q86" s="195"/>
      <c r="R86" s="323"/>
      <c r="S86" s="323"/>
      <c r="T86" s="323"/>
      <c r="U86" s="323"/>
      <c r="V86" s="323"/>
      <c r="W86" s="323"/>
      <c r="X86" s="323"/>
      <c r="Y86" s="323"/>
      <c r="Z86" s="323"/>
      <c r="AA86" s="323"/>
      <c r="AB86" s="323"/>
      <c r="AC86" s="323"/>
      <c r="AD86" s="323"/>
      <c r="AE86" s="323"/>
      <c r="AG86" s="195"/>
      <c r="AH86" s="323"/>
      <c r="AI86" s="323"/>
      <c r="AJ86" s="323"/>
      <c r="AK86" s="323"/>
      <c r="AL86" s="323"/>
      <c r="AM86" s="323"/>
      <c r="AN86" s="323"/>
      <c r="AO86" s="323"/>
      <c r="AP86" s="323"/>
      <c r="AQ86" s="323"/>
      <c r="AR86" s="323"/>
      <c r="AS86" s="323"/>
      <c r="AT86" s="323"/>
      <c r="AU86" s="323"/>
    </row>
    <row r="87" spans="1:47" s="196" customFormat="1" ht="11.25" customHeight="1" x14ac:dyDescent="0.15">
      <c r="A87" s="195"/>
      <c r="B87" s="323"/>
      <c r="C87" s="323"/>
      <c r="D87" s="323"/>
      <c r="E87" s="323"/>
      <c r="F87" s="323"/>
      <c r="G87" s="323"/>
      <c r="H87" s="323"/>
      <c r="I87" s="323"/>
      <c r="J87" s="323"/>
      <c r="K87" s="323"/>
      <c r="L87" s="323"/>
      <c r="M87" s="323"/>
      <c r="N87" s="323"/>
      <c r="O87" s="323"/>
      <c r="Q87" s="195"/>
      <c r="R87" s="323"/>
      <c r="S87" s="323"/>
      <c r="T87" s="323"/>
      <c r="U87" s="323"/>
      <c r="V87" s="323"/>
      <c r="W87" s="323"/>
      <c r="X87" s="323"/>
      <c r="Y87" s="323"/>
      <c r="Z87" s="323"/>
      <c r="AA87" s="323"/>
      <c r="AB87" s="323"/>
      <c r="AC87" s="323"/>
      <c r="AD87" s="323"/>
      <c r="AE87" s="323"/>
      <c r="AG87" s="195"/>
      <c r="AH87" s="323"/>
      <c r="AI87" s="323"/>
      <c r="AJ87" s="323"/>
      <c r="AK87" s="323"/>
      <c r="AL87" s="323"/>
      <c r="AM87" s="323"/>
      <c r="AN87" s="323"/>
      <c r="AO87" s="323"/>
      <c r="AP87" s="323"/>
      <c r="AQ87" s="323"/>
      <c r="AR87" s="323"/>
      <c r="AS87" s="323"/>
      <c r="AT87" s="323"/>
      <c r="AU87" s="323"/>
    </row>
    <row r="88" spans="1:47" ht="10.5" customHeight="1" x14ac:dyDescent="0.15">
      <c r="B88" s="165"/>
      <c r="C88" s="165"/>
      <c r="D88" s="165"/>
      <c r="E88" s="165"/>
      <c r="F88" s="165"/>
      <c r="G88" s="165"/>
      <c r="H88" s="165"/>
      <c r="I88" s="165"/>
      <c r="J88" s="165"/>
      <c r="K88" s="165"/>
      <c r="L88" s="165"/>
      <c r="R88" s="165"/>
      <c r="S88" s="165"/>
      <c r="T88" s="165"/>
      <c r="U88" s="165"/>
      <c r="V88" s="165"/>
      <c r="W88" s="165"/>
      <c r="X88" s="165"/>
      <c r="Y88" s="165"/>
      <c r="Z88" s="165"/>
      <c r="AA88" s="165"/>
      <c r="AB88" s="165"/>
      <c r="AH88" s="165"/>
      <c r="AI88" s="165"/>
      <c r="AJ88" s="165"/>
      <c r="AK88" s="165"/>
      <c r="AL88" s="165"/>
      <c r="AM88" s="165"/>
      <c r="AN88" s="165"/>
      <c r="AO88" s="165"/>
      <c r="AP88" s="165"/>
      <c r="AQ88" s="165"/>
      <c r="AR88" s="165"/>
    </row>
  </sheetData>
  <sheetProtection password="C7C4" sheet="1" objects="1" scenarios="1"/>
  <mergeCells count="299">
    <mergeCell ref="C81:D82"/>
    <mergeCell ref="E81:H82"/>
    <mergeCell ref="I81:I82"/>
    <mergeCell ref="J81:K82"/>
    <mergeCell ref="L81:O82"/>
    <mergeCell ref="B83:H87"/>
    <mergeCell ref="I83:O87"/>
    <mergeCell ref="B81:B82"/>
    <mergeCell ref="I41:O45"/>
    <mergeCell ref="C46:D47"/>
    <mergeCell ref="E46:H47"/>
    <mergeCell ref="I46:I47"/>
    <mergeCell ref="B67:B68"/>
    <mergeCell ref="B74:B75"/>
    <mergeCell ref="C60:D61"/>
    <mergeCell ref="E60:H61"/>
    <mergeCell ref="I60:I61"/>
    <mergeCell ref="J46:K47"/>
    <mergeCell ref="L46:O47"/>
    <mergeCell ref="B48:H52"/>
    <mergeCell ref="I48:O52"/>
    <mergeCell ref="C53:D54"/>
    <mergeCell ref="E53:H54"/>
    <mergeCell ref="I53:I54"/>
    <mergeCell ref="N1:O1"/>
    <mergeCell ref="N2:O2"/>
    <mergeCell ref="B76:H80"/>
    <mergeCell ref="I76:O80"/>
    <mergeCell ref="B13:H17"/>
    <mergeCell ref="I13:O17"/>
    <mergeCell ref="C18:D19"/>
    <mergeCell ref="E18:H19"/>
    <mergeCell ref="I18:I19"/>
    <mergeCell ref="J18:K19"/>
    <mergeCell ref="L18:O19"/>
    <mergeCell ref="B20:H24"/>
    <mergeCell ref="C3:D3"/>
    <mergeCell ref="C11:D12"/>
    <mergeCell ref="E11:H12"/>
    <mergeCell ref="J11:K12"/>
    <mergeCell ref="I11:I12"/>
    <mergeCell ref="L11:O12"/>
    <mergeCell ref="E3:O3"/>
    <mergeCell ref="C4:D5"/>
    <mergeCell ref="E4:O5"/>
    <mergeCell ref="B6:O10"/>
    <mergeCell ref="B69:H73"/>
    <mergeCell ref="B34:H38"/>
    <mergeCell ref="R74:R75"/>
    <mergeCell ref="S60:T61"/>
    <mergeCell ref="U60:X61"/>
    <mergeCell ref="Y60:Y61"/>
    <mergeCell ref="Z60:AA61"/>
    <mergeCell ref="AB60:AE61"/>
    <mergeCell ref="R62:X66"/>
    <mergeCell ref="Y62:AE66"/>
    <mergeCell ref="S67:T68"/>
    <mergeCell ref="U67:X68"/>
    <mergeCell ref="Y67:Y68"/>
    <mergeCell ref="Z67:AA68"/>
    <mergeCell ref="AB67:AE68"/>
    <mergeCell ref="R69:X73"/>
    <mergeCell ref="S74:T75"/>
    <mergeCell ref="U74:X75"/>
    <mergeCell ref="Y74:Y75"/>
    <mergeCell ref="Z74:AA75"/>
    <mergeCell ref="AB74:AE75"/>
    <mergeCell ref="I62:O66"/>
    <mergeCell ref="R25:R26"/>
    <mergeCell ref="R32:R33"/>
    <mergeCell ref="R39:R40"/>
    <mergeCell ref="S25:T26"/>
    <mergeCell ref="U25:X26"/>
    <mergeCell ref="Y25:Y26"/>
    <mergeCell ref="Z25:AA26"/>
    <mergeCell ref="AB25:AE26"/>
    <mergeCell ref="R27:X31"/>
    <mergeCell ref="Y27:AE31"/>
    <mergeCell ref="S32:T33"/>
    <mergeCell ref="U32:X33"/>
    <mergeCell ref="Y32:Y33"/>
    <mergeCell ref="Z32:AA33"/>
    <mergeCell ref="AB32:AE33"/>
    <mergeCell ref="R34:X38"/>
    <mergeCell ref="Y34:AE38"/>
    <mergeCell ref="S39:T40"/>
    <mergeCell ref="U39:X40"/>
    <mergeCell ref="Y39:Y40"/>
    <mergeCell ref="Z39:AA40"/>
    <mergeCell ref="AB39:AE40"/>
    <mergeCell ref="R41:X45"/>
    <mergeCell ref="C67:D68"/>
    <mergeCell ref="E67:H68"/>
    <mergeCell ref="I67:I68"/>
    <mergeCell ref="J67:K68"/>
    <mergeCell ref="L67:O68"/>
    <mergeCell ref="B60:B61"/>
    <mergeCell ref="I25:I26"/>
    <mergeCell ref="J25:K26"/>
    <mergeCell ref="L25:O26"/>
    <mergeCell ref="B27:H31"/>
    <mergeCell ref="I27:O31"/>
    <mergeCell ref="C32:D33"/>
    <mergeCell ref="E32:H33"/>
    <mergeCell ref="I32:I33"/>
    <mergeCell ref="J32:K33"/>
    <mergeCell ref="L32:O33"/>
    <mergeCell ref="J53:K54"/>
    <mergeCell ref="L53:O54"/>
    <mergeCell ref="B46:B47"/>
    <mergeCell ref="B53:B54"/>
    <mergeCell ref="B41:H45"/>
    <mergeCell ref="J60:K61"/>
    <mergeCell ref="L60:O61"/>
    <mergeCell ref="B62:H66"/>
    <mergeCell ref="B11:B12"/>
    <mergeCell ref="B18:B19"/>
    <mergeCell ref="I20:O24"/>
    <mergeCell ref="B4:B5"/>
    <mergeCell ref="E1:K2"/>
    <mergeCell ref="I69:O73"/>
    <mergeCell ref="C74:D75"/>
    <mergeCell ref="E74:H75"/>
    <mergeCell ref="I74:I75"/>
    <mergeCell ref="J74:K75"/>
    <mergeCell ref="L74:O75"/>
    <mergeCell ref="I55:O59"/>
    <mergeCell ref="I34:O38"/>
    <mergeCell ref="C39:D40"/>
    <mergeCell ref="E39:H40"/>
    <mergeCell ref="I39:I40"/>
    <mergeCell ref="J39:K40"/>
    <mergeCell ref="L39:O40"/>
    <mergeCell ref="B55:H59"/>
    <mergeCell ref="B25:B26"/>
    <mergeCell ref="B32:B33"/>
    <mergeCell ref="B39:B40"/>
    <mergeCell ref="C25:D26"/>
    <mergeCell ref="E25:H26"/>
    <mergeCell ref="AD1:AE1"/>
    <mergeCell ref="AD2:AE2"/>
    <mergeCell ref="S3:T3"/>
    <mergeCell ref="U3:AE3"/>
    <mergeCell ref="S4:T5"/>
    <mergeCell ref="S11:T12"/>
    <mergeCell ref="U11:X12"/>
    <mergeCell ref="Y11:Y12"/>
    <mergeCell ref="Z11:AA12"/>
    <mergeCell ref="AB11:AE12"/>
    <mergeCell ref="U4:X5"/>
    <mergeCell ref="Y4:Y5"/>
    <mergeCell ref="Z4:AA5"/>
    <mergeCell ref="AB4:AE5"/>
    <mergeCell ref="R6:X10"/>
    <mergeCell ref="Y6:AE10"/>
    <mergeCell ref="R4:R5"/>
    <mergeCell ref="R11:R12"/>
    <mergeCell ref="U1:AA2"/>
    <mergeCell ref="R13:X17"/>
    <mergeCell ref="Y13:AE17"/>
    <mergeCell ref="S18:T19"/>
    <mergeCell ref="U18:X19"/>
    <mergeCell ref="Y18:Y19"/>
    <mergeCell ref="Z18:AA19"/>
    <mergeCell ref="AB18:AE19"/>
    <mergeCell ref="R20:X24"/>
    <mergeCell ref="Y20:AE24"/>
    <mergeCell ref="R18:R19"/>
    <mergeCell ref="Y41:AE45"/>
    <mergeCell ref="S46:T47"/>
    <mergeCell ref="U46:X47"/>
    <mergeCell ref="Y46:Y47"/>
    <mergeCell ref="Z46:AA47"/>
    <mergeCell ref="AB46:AE47"/>
    <mergeCell ref="R46:R47"/>
    <mergeCell ref="Y69:AE73"/>
    <mergeCell ref="R53:R54"/>
    <mergeCell ref="R48:X52"/>
    <mergeCell ref="Y48:AE52"/>
    <mergeCell ref="S53:T54"/>
    <mergeCell ref="U53:X54"/>
    <mergeCell ref="Y53:Y54"/>
    <mergeCell ref="Z53:AA54"/>
    <mergeCell ref="AB53:AE54"/>
    <mergeCell ref="R55:X59"/>
    <mergeCell ref="Y55:AE59"/>
    <mergeCell ref="R60:R61"/>
    <mergeCell ref="R67:R68"/>
    <mergeCell ref="R76:X80"/>
    <mergeCell ref="Y76:AE80"/>
    <mergeCell ref="S81:T82"/>
    <mergeCell ref="U81:X82"/>
    <mergeCell ref="Y81:Y82"/>
    <mergeCell ref="Z81:AA82"/>
    <mergeCell ref="AB81:AE82"/>
    <mergeCell ref="R81:R82"/>
    <mergeCell ref="R83:X87"/>
    <mergeCell ref="Y83:AE87"/>
    <mergeCell ref="AH6:AN10"/>
    <mergeCell ref="AO6:AU10"/>
    <mergeCell ref="AH11:AH12"/>
    <mergeCell ref="AI11:AJ12"/>
    <mergeCell ref="AK11:AN12"/>
    <mergeCell ref="AO11:AO12"/>
    <mergeCell ref="AP11:AQ12"/>
    <mergeCell ref="AR11:AU12"/>
    <mergeCell ref="AH13:AN17"/>
    <mergeCell ref="AO13:AU17"/>
    <mergeCell ref="AT1:AU1"/>
    <mergeCell ref="AT2:AU2"/>
    <mergeCell ref="AI3:AJ3"/>
    <mergeCell ref="AK3:AU3"/>
    <mergeCell ref="AH4:AH5"/>
    <mergeCell ref="AI4:AJ5"/>
    <mergeCell ref="AK4:AN5"/>
    <mergeCell ref="AO4:AO5"/>
    <mergeCell ref="AP4:AQ5"/>
    <mergeCell ref="AR4:AU5"/>
    <mergeCell ref="AK1:AQ2"/>
    <mergeCell ref="AR18:AU19"/>
    <mergeCell ref="AH20:AN24"/>
    <mergeCell ref="AO20:AU24"/>
    <mergeCell ref="AH25:AH26"/>
    <mergeCell ref="AI25:AJ26"/>
    <mergeCell ref="AK25:AN26"/>
    <mergeCell ref="AO25:AO26"/>
    <mergeCell ref="AP25:AQ26"/>
    <mergeCell ref="AR25:AU26"/>
    <mergeCell ref="AH18:AH19"/>
    <mergeCell ref="AI18:AJ19"/>
    <mergeCell ref="AK18:AN19"/>
    <mergeCell ref="AO18:AO19"/>
    <mergeCell ref="AP18:AQ19"/>
    <mergeCell ref="AH27:AN31"/>
    <mergeCell ref="AO27:AU31"/>
    <mergeCell ref="AH32:AH33"/>
    <mergeCell ref="AI32:AJ33"/>
    <mergeCell ref="AK32:AN33"/>
    <mergeCell ref="AO32:AO33"/>
    <mergeCell ref="AP32:AQ33"/>
    <mergeCell ref="AR32:AU33"/>
    <mergeCell ref="AH34:AN38"/>
    <mergeCell ref="AO34:AU38"/>
    <mergeCell ref="AH39:AH40"/>
    <mergeCell ref="AI39:AJ40"/>
    <mergeCell ref="AK39:AN40"/>
    <mergeCell ref="AO39:AO40"/>
    <mergeCell ref="AP39:AQ40"/>
    <mergeCell ref="AR39:AU40"/>
    <mergeCell ref="AH41:AN45"/>
    <mergeCell ref="AO41:AU45"/>
    <mergeCell ref="AH46:AH47"/>
    <mergeCell ref="AI46:AJ47"/>
    <mergeCell ref="AK46:AN47"/>
    <mergeCell ref="AO46:AO47"/>
    <mergeCell ref="AP46:AQ47"/>
    <mergeCell ref="AR46:AU47"/>
    <mergeCell ref="AH48:AN52"/>
    <mergeCell ref="AO48:AU52"/>
    <mergeCell ref="AH53:AH54"/>
    <mergeCell ref="AI53:AJ54"/>
    <mergeCell ref="AK53:AN54"/>
    <mergeCell ref="AO53:AO54"/>
    <mergeCell ref="AP53:AQ54"/>
    <mergeCell ref="AR53:AU54"/>
    <mergeCell ref="AH55:AN59"/>
    <mergeCell ref="AO55:AU59"/>
    <mergeCell ref="AH60:AH61"/>
    <mergeCell ref="AI60:AJ61"/>
    <mergeCell ref="AK60:AN61"/>
    <mergeCell ref="AO60:AO61"/>
    <mergeCell ref="AP60:AQ61"/>
    <mergeCell ref="AR60:AU61"/>
    <mergeCell ref="AH62:AN66"/>
    <mergeCell ref="AO62:AU66"/>
    <mergeCell ref="AH67:AH68"/>
    <mergeCell ref="AI67:AJ68"/>
    <mergeCell ref="AK67:AN68"/>
    <mergeCell ref="AO67:AO68"/>
    <mergeCell ref="AP67:AQ68"/>
    <mergeCell ref="AR67:AU68"/>
    <mergeCell ref="AH81:AH82"/>
    <mergeCell ref="AI81:AJ82"/>
    <mergeCell ref="AK81:AN82"/>
    <mergeCell ref="AO81:AO82"/>
    <mergeCell ref="AP81:AQ82"/>
    <mergeCell ref="AR81:AU82"/>
    <mergeCell ref="AH83:AN87"/>
    <mergeCell ref="AO83:AU87"/>
    <mergeCell ref="AH69:AN73"/>
    <mergeCell ref="AO69:AU73"/>
    <mergeCell ref="AH74:AH75"/>
    <mergeCell ref="AI74:AJ75"/>
    <mergeCell ref="AK74:AN75"/>
    <mergeCell ref="AO74:AO75"/>
    <mergeCell ref="AP74:AQ75"/>
    <mergeCell ref="AR74:AU75"/>
    <mergeCell ref="AH76:AN80"/>
    <mergeCell ref="AO76:AU80"/>
  </mergeCells>
  <phoneticPr fontId="1"/>
  <printOptions horizontalCentered="1" verticalCentered="1"/>
  <pageMargins left="0" right="0" top="0" bottom="0" header="0" footer="0"/>
  <pageSetup paperSize="9" scale="89" orientation="portrait" r:id="rId1"/>
  <colBreaks count="2" manualBreakCount="2">
    <brk id="15" max="86" man="1"/>
    <brk id="31" max="8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Q51"/>
  <sheetViews>
    <sheetView showGridLines="0" workbookViewId="0">
      <selection activeCell="B11" sqref="B11"/>
    </sheetView>
  </sheetViews>
  <sheetFormatPr defaultColWidth="9" defaultRowHeight="15" customHeight="1" x14ac:dyDescent="0.15"/>
  <cols>
    <col min="1" max="1" width="12.375" style="105" customWidth="1"/>
    <col min="2" max="2" width="9" style="105" customWidth="1"/>
    <col min="3" max="3" width="8.125" style="105" customWidth="1"/>
    <col min="4" max="6" width="9" style="105"/>
    <col min="7" max="7" width="15.125" style="105" customWidth="1"/>
    <col min="8" max="16384" width="9" style="105"/>
  </cols>
  <sheetData>
    <row r="1" spans="1:1" ht="18.75" x14ac:dyDescent="0.15">
      <c r="A1" s="111" t="s">
        <v>340</v>
      </c>
    </row>
    <row r="2" spans="1:1" ht="15" customHeight="1" x14ac:dyDescent="0.15">
      <c r="A2" s="104"/>
    </row>
    <row r="4" spans="1:1" ht="15" customHeight="1" x14ac:dyDescent="0.15">
      <c r="A4" s="104" t="s">
        <v>353</v>
      </c>
    </row>
    <row r="5" spans="1:1" ht="15" customHeight="1" x14ac:dyDescent="0.15">
      <c r="A5" s="105" t="s">
        <v>412</v>
      </c>
    </row>
    <row r="6" spans="1:1" s="108" customFormat="1" ht="15" customHeight="1" x14ac:dyDescent="0.15">
      <c r="A6" s="108" t="s">
        <v>437</v>
      </c>
    </row>
    <row r="7" spans="1:1" s="108" customFormat="1" ht="15" customHeight="1" x14ac:dyDescent="0.15">
      <c r="A7" s="108" t="s">
        <v>438</v>
      </c>
    </row>
    <row r="8" spans="1:1" s="108" customFormat="1" ht="15" customHeight="1" x14ac:dyDescent="0.15">
      <c r="A8" s="108" t="s">
        <v>439</v>
      </c>
    </row>
    <row r="9" spans="1:1" ht="15" customHeight="1" x14ac:dyDescent="0.15">
      <c r="A9" s="108" t="s">
        <v>452</v>
      </c>
    </row>
    <row r="10" spans="1:1" ht="15" customHeight="1" x14ac:dyDescent="0.15">
      <c r="A10" s="108" t="s">
        <v>453</v>
      </c>
    </row>
    <row r="13" spans="1:1" s="104" customFormat="1" ht="15" customHeight="1" x14ac:dyDescent="0.15">
      <c r="A13" s="104" t="s">
        <v>341</v>
      </c>
    </row>
    <row r="14" spans="1:1" ht="15" customHeight="1" x14ac:dyDescent="0.15">
      <c r="A14" s="105" t="s">
        <v>343</v>
      </c>
    </row>
    <row r="15" spans="1:1" ht="15" customHeight="1" x14ac:dyDescent="0.15">
      <c r="A15" s="105" t="s">
        <v>391</v>
      </c>
    </row>
    <row r="18" spans="1:9" s="104" customFormat="1" ht="15" customHeight="1" x14ac:dyDescent="0.15">
      <c r="A18" s="104" t="s">
        <v>342</v>
      </c>
    </row>
    <row r="19" spans="1:9" ht="15" customHeight="1" thickBot="1" x14ac:dyDescent="0.2">
      <c r="A19" s="109" t="s">
        <v>395</v>
      </c>
    </row>
    <row r="20" spans="1:9" ht="15" customHeight="1" thickBot="1" x14ac:dyDescent="0.2">
      <c r="A20" s="105" t="s">
        <v>344</v>
      </c>
      <c r="B20" s="106"/>
      <c r="C20" s="110" t="s">
        <v>346</v>
      </c>
      <c r="D20" s="107"/>
      <c r="E20" s="105" t="s">
        <v>345</v>
      </c>
    </row>
    <row r="21" spans="1:9" ht="15" customHeight="1" thickBot="1" x14ac:dyDescent="0.2">
      <c r="B21" s="106"/>
      <c r="C21" s="110" t="s">
        <v>349</v>
      </c>
    </row>
    <row r="22" spans="1:9" ht="15" customHeight="1" thickBot="1" x14ac:dyDescent="0.2">
      <c r="B22" s="107"/>
      <c r="C22" s="105" t="s">
        <v>351</v>
      </c>
      <c r="H22" s="106"/>
      <c r="I22" s="105" t="s">
        <v>347</v>
      </c>
    </row>
    <row r="23" spans="1:9" ht="15" customHeight="1" thickBot="1" x14ac:dyDescent="0.2">
      <c r="B23" s="105" t="s">
        <v>350</v>
      </c>
      <c r="D23" s="107"/>
      <c r="E23" s="105" t="s">
        <v>348</v>
      </c>
    </row>
    <row r="24" spans="1:9" ht="15" customHeight="1" x14ac:dyDescent="0.15">
      <c r="A24" s="105" t="s">
        <v>392</v>
      </c>
    </row>
    <row r="25" spans="1:9" ht="15" customHeight="1" x14ac:dyDescent="0.15">
      <c r="A25" s="105" t="s">
        <v>393</v>
      </c>
    </row>
    <row r="26" spans="1:9" ht="15" customHeight="1" x14ac:dyDescent="0.15">
      <c r="A26" s="105" t="s">
        <v>413</v>
      </c>
    </row>
    <row r="27" spans="1:9" ht="15" customHeight="1" x14ac:dyDescent="0.15">
      <c r="A27" s="105" t="s">
        <v>417</v>
      </c>
    </row>
    <row r="28" spans="1:9" ht="15" customHeight="1" x14ac:dyDescent="0.15">
      <c r="A28" s="105" t="s">
        <v>414</v>
      </c>
    </row>
    <row r="31" spans="1:9" s="104" customFormat="1" ht="15" customHeight="1" x14ac:dyDescent="0.15">
      <c r="A31" s="104" t="s">
        <v>352</v>
      </c>
    </row>
    <row r="32" spans="1:9" ht="15" customHeight="1" x14ac:dyDescent="0.15">
      <c r="A32" s="105" t="s">
        <v>354</v>
      </c>
    </row>
    <row r="33" spans="1:17" ht="15" customHeight="1" x14ac:dyDescent="0.15">
      <c r="A33" s="105" t="s">
        <v>396</v>
      </c>
    </row>
    <row r="34" spans="1:17" ht="15" customHeight="1" x14ac:dyDescent="0.15">
      <c r="A34" s="105" t="s">
        <v>394</v>
      </c>
    </row>
    <row r="35" spans="1:17" ht="15" customHeight="1" x14ac:dyDescent="0.15">
      <c r="B35" s="105" t="s">
        <v>358</v>
      </c>
    </row>
    <row r="36" spans="1:17" ht="15" customHeight="1" x14ac:dyDescent="0.15">
      <c r="B36" s="112" t="s">
        <v>356</v>
      </c>
      <c r="C36" s="113"/>
      <c r="D36" s="113"/>
      <c r="E36" s="113"/>
      <c r="F36" s="113"/>
      <c r="G36" s="113"/>
      <c r="H36" s="113"/>
      <c r="I36" s="113"/>
      <c r="J36" s="113"/>
      <c r="K36" s="113"/>
      <c r="L36" s="113"/>
      <c r="M36" s="113"/>
      <c r="N36" s="113"/>
      <c r="O36" s="113"/>
      <c r="P36" s="113"/>
      <c r="Q36" s="162"/>
    </row>
    <row r="37" spans="1:17" ht="15" customHeight="1" x14ac:dyDescent="0.15">
      <c r="B37" s="114" t="s">
        <v>397</v>
      </c>
      <c r="Q37" s="163"/>
    </row>
    <row r="38" spans="1:17" ht="15" customHeight="1" x14ac:dyDescent="0.15">
      <c r="B38" s="114" t="s">
        <v>357</v>
      </c>
      <c r="Q38" s="163"/>
    </row>
    <row r="39" spans="1:17" ht="15" customHeight="1" x14ac:dyDescent="0.15">
      <c r="B39" s="115" t="s">
        <v>398</v>
      </c>
      <c r="C39" s="116"/>
      <c r="D39" s="116"/>
      <c r="E39" s="116"/>
      <c r="F39" s="116"/>
      <c r="G39" s="116"/>
      <c r="H39" s="116"/>
      <c r="I39" s="116"/>
      <c r="J39" s="116"/>
      <c r="K39" s="116"/>
      <c r="L39" s="116"/>
      <c r="M39" s="116"/>
      <c r="N39" s="116"/>
      <c r="O39" s="116"/>
      <c r="P39" s="116"/>
      <c r="Q39" s="164"/>
    </row>
    <row r="42" spans="1:17" ht="15" customHeight="1" x14ac:dyDescent="0.15">
      <c r="A42" s="104" t="s">
        <v>355</v>
      </c>
    </row>
    <row r="43" spans="1:17" ht="15" customHeight="1" x14ac:dyDescent="0.15">
      <c r="A43" s="105" t="s">
        <v>419</v>
      </c>
    </row>
    <row r="46" spans="1:17" ht="15" customHeight="1" x14ac:dyDescent="0.15">
      <c r="A46" s="104" t="s">
        <v>399</v>
      </c>
    </row>
    <row r="47" spans="1:17" ht="15" customHeight="1" x14ac:dyDescent="0.15">
      <c r="A47" s="105" t="s">
        <v>400</v>
      </c>
    </row>
    <row r="48" spans="1:17" ht="15" customHeight="1" x14ac:dyDescent="0.15">
      <c r="A48" s="105" t="s">
        <v>401</v>
      </c>
    </row>
    <row r="51" spans="1:1" ht="15" customHeight="1" x14ac:dyDescent="0.15">
      <c r="A51" s="104" t="s">
        <v>418</v>
      </c>
    </row>
  </sheetData>
  <sheetProtection password="C7C4" sheet="1" objects="1" scenarios="1"/>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66"/>
  </sheetPr>
  <dimension ref="B1:M119"/>
  <sheetViews>
    <sheetView zoomScaleNormal="100" workbookViewId="0">
      <pane ySplit="3" topLeftCell="A4" activePane="bottomLeft" state="frozen"/>
      <selection activeCell="W45" sqref="W45:AB52"/>
      <selection pane="bottomLeft" activeCell="B115" sqref="B115:B119"/>
    </sheetView>
  </sheetViews>
  <sheetFormatPr defaultColWidth="9" defaultRowHeight="13.5" x14ac:dyDescent="0.15"/>
  <cols>
    <col min="1" max="1" width="2" style="6" customWidth="1"/>
    <col min="2" max="2" width="10.625" style="6" customWidth="1"/>
    <col min="3" max="8" width="9" style="6"/>
    <col min="9" max="9" width="2.375" style="5" bestFit="1" customWidth="1"/>
    <col min="10" max="13" width="9" style="5"/>
    <col min="14" max="16384" width="9" style="6"/>
  </cols>
  <sheetData>
    <row r="1" spans="2:10" ht="21" x14ac:dyDescent="0.15">
      <c r="B1" s="18"/>
      <c r="C1" s="278" t="s">
        <v>94</v>
      </c>
      <c r="D1" s="278"/>
      <c r="E1" s="278"/>
      <c r="F1" s="278"/>
      <c r="G1" s="278"/>
      <c r="H1" s="278"/>
    </row>
    <row r="2" spans="2:10" x14ac:dyDescent="0.15">
      <c r="C2" s="281">
        <f>基本情報!$B$2</f>
        <v>0</v>
      </c>
      <c r="D2" s="281"/>
      <c r="E2" s="279">
        <f>基本情報!$B$3</f>
        <v>0</v>
      </c>
      <c r="F2" s="279"/>
      <c r="G2" s="283" t="str">
        <f>IF(計算シート!$M$78=0,"",計算シート!$M$78&amp;"/74　特記入力済み")</f>
        <v/>
      </c>
      <c r="H2" s="283"/>
    </row>
    <row r="3" spans="2:10" ht="14.25" thickBot="1" x14ac:dyDescent="0.2">
      <c r="B3" s="7"/>
      <c r="C3" s="282"/>
      <c r="D3" s="282"/>
      <c r="E3" s="280"/>
      <c r="F3" s="280"/>
      <c r="G3" s="284"/>
      <c r="H3" s="284"/>
    </row>
    <row r="4" spans="2:10" ht="27" customHeight="1" thickBot="1" x14ac:dyDescent="0.2">
      <c r="B4" s="8" t="s">
        <v>37</v>
      </c>
      <c r="C4" s="265"/>
      <c r="D4" s="266"/>
      <c r="E4" s="266"/>
      <c r="F4" s="266"/>
      <c r="G4" s="266"/>
      <c r="H4" s="267"/>
      <c r="I4" s="76" t="str">
        <f>IF(C4="","",LEN(C4)&amp;"/120　文字")</f>
        <v/>
      </c>
    </row>
    <row r="5" spans="2:10" ht="27" customHeight="1" thickBot="1" x14ac:dyDescent="0.2">
      <c r="B5" s="10" t="s">
        <v>24</v>
      </c>
      <c r="C5" s="268"/>
      <c r="D5" s="269"/>
      <c r="E5" s="269"/>
      <c r="F5" s="269"/>
      <c r="G5" s="269"/>
      <c r="H5" s="270"/>
      <c r="J5" s="21"/>
    </row>
    <row r="6" spans="2:10" ht="27" customHeight="1" thickBot="1" x14ac:dyDescent="0.2">
      <c r="B6" s="24" t="str">
        <f>IF(COUNTIF(計算シート!$B$2:$B$6,TRUE)=0,"麻痺なし",COUNTIF(計算シート!$B$2:$B$6,TRUE))</f>
        <v>麻痺なし</v>
      </c>
      <c r="C6" s="268"/>
      <c r="D6" s="269"/>
      <c r="E6" s="269"/>
      <c r="F6" s="269"/>
      <c r="G6" s="269"/>
      <c r="H6" s="270"/>
      <c r="I6" s="178" t="str">
        <f>IF(AND(OR(B6=1,B6=2,B6=3,B6=4,B6=5),C4=""),"特記事項は記入していますか？","")</f>
        <v/>
      </c>
      <c r="J6" s="21"/>
    </row>
    <row r="7" spans="2:10" ht="23.1" customHeight="1" thickBot="1" x14ac:dyDescent="0.2">
      <c r="B7" s="13"/>
      <c r="C7" s="268"/>
      <c r="D7" s="269"/>
      <c r="E7" s="269"/>
      <c r="F7" s="269"/>
      <c r="G7" s="269"/>
      <c r="H7" s="270"/>
      <c r="I7" s="23"/>
      <c r="J7" s="20"/>
    </row>
    <row r="8" spans="2:10" ht="23.1" customHeight="1" thickBot="1" x14ac:dyDescent="0.2">
      <c r="B8" s="14"/>
      <c r="C8" s="268"/>
      <c r="D8" s="269"/>
      <c r="E8" s="269"/>
      <c r="F8" s="269"/>
      <c r="G8" s="269"/>
      <c r="H8" s="270"/>
      <c r="I8" s="23"/>
      <c r="J8" s="20"/>
    </row>
    <row r="9" spans="2:10" ht="23.1" customHeight="1" thickBot="1" x14ac:dyDescent="0.2">
      <c r="B9" s="14"/>
      <c r="C9" s="268"/>
      <c r="D9" s="269"/>
      <c r="E9" s="269"/>
      <c r="F9" s="269"/>
      <c r="G9" s="269"/>
      <c r="H9" s="270"/>
      <c r="I9" s="23"/>
      <c r="J9" s="20"/>
    </row>
    <row r="10" spans="2:10" ht="23.1" customHeight="1" thickBot="1" x14ac:dyDescent="0.2">
      <c r="B10" s="14"/>
      <c r="C10" s="268"/>
      <c r="D10" s="269"/>
      <c r="E10" s="269"/>
      <c r="F10" s="269"/>
      <c r="G10" s="269"/>
      <c r="H10" s="270"/>
      <c r="I10" s="23"/>
      <c r="J10" s="20"/>
    </row>
    <row r="11" spans="2:10" ht="23.1" customHeight="1" thickBot="1" x14ac:dyDescent="0.2">
      <c r="B11" s="167"/>
      <c r="C11" s="271"/>
      <c r="D11" s="272"/>
      <c r="E11" s="272"/>
      <c r="F11" s="272"/>
      <c r="G11" s="272"/>
      <c r="H11" s="273"/>
      <c r="I11" s="23"/>
      <c r="J11" s="20"/>
    </row>
    <row r="12" spans="2:10" ht="20.100000000000001" customHeight="1" thickBot="1" x14ac:dyDescent="0.2">
      <c r="I12" s="21"/>
      <c r="J12" s="21"/>
    </row>
    <row r="13" spans="2:10" ht="27" customHeight="1" thickBot="1" x14ac:dyDescent="0.2">
      <c r="B13" s="8" t="s">
        <v>25</v>
      </c>
      <c r="C13" s="265"/>
      <c r="D13" s="266"/>
      <c r="E13" s="266"/>
      <c r="F13" s="266"/>
      <c r="G13" s="266"/>
      <c r="H13" s="267"/>
      <c r="I13" s="76" t="str">
        <f>IF(C13="","",LEN(C13)&amp;"/120　文字")</f>
        <v/>
      </c>
      <c r="J13" s="21"/>
    </row>
    <row r="14" spans="2:10" ht="27" customHeight="1" thickBot="1" x14ac:dyDescent="0.2">
      <c r="B14" s="10" t="s">
        <v>27</v>
      </c>
      <c r="C14" s="268"/>
      <c r="D14" s="269"/>
      <c r="E14" s="269"/>
      <c r="F14" s="269"/>
      <c r="G14" s="269"/>
      <c r="H14" s="270"/>
      <c r="I14" s="179" t="str">
        <f>IF(AND(OR(B15=1,B15=2,B15=3,B15=4),C13=""),"特記事項は記入していますか？","")</f>
        <v/>
      </c>
      <c r="J14" s="21"/>
    </row>
    <row r="15" spans="2:10" ht="27" customHeight="1" thickBot="1" x14ac:dyDescent="0.2">
      <c r="B15" s="24" t="str">
        <f>IF(COUNTIF(計算シート!$B$9:$B$12,TRUE)=0,"拘縮なし",COUNTIF(計算シート!$B$9:$B$12,TRUE))</f>
        <v>拘縮なし</v>
      </c>
      <c r="C15" s="268"/>
      <c r="D15" s="269"/>
      <c r="E15" s="269"/>
      <c r="F15" s="269"/>
      <c r="G15" s="269"/>
      <c r="H15" s="270"/>
      <c r="J15" s="21"/>
    </row>
    <row r="16" spans="2:10" ht="23.1" customHeight="1" thickBot="1" x14ac:dyDescent="0.2">
      <c r="B16" s="15"/>
      <c r="C16" s="268"/>
      <c r="D16" s="269"/>
      <c r="E16" s="269"/>
      <c r="F16" s="269"/>
      <c r="G16" s="269"/>
      <c r="H16" s="270"/>
      <c r="I16" s="20"/>
      <c r="J16" s="21"/>
    </row>
    <row r="17" spans="2:10" ht="23.1" customHeight="1" thickBot="1" x14ac:dyDescent="0.2">
      <c r="B17" s="13"/>
      <c r="C17" s="268"/>
      <c r="D17" s="269"/>
      <c r="E17" s="269"/>
      <c r="F17" s="269"/>
      <c r="G17" s="269"/>
      <c r="H17" s="270"/>
      <c r="I17" s="23"/>
      <c r="J17" s="20"/>
    </row>
    <row r="18" spans="2:10" ht="23.1" customHeight="1" thickBot="1" x14ac:dyDescent="0.2">
      <c r="B18" s="14"/>
      <c r="C18" s="268"/>
      <c r="D18" s="269"/>
      <c r="E18" s="269"/>
      <c r="F18" s="269"/>
      <c r="G18" s="269"/>
      <c r="H18" s="270"/>
      <c r="I18" s="23"/>
      <c r="J18" s="20"/>
    </row>
    <row r="19" spans="2:10" ht="23.1" customHeight="1" thickBot="1" x14ac:dyDescent="0.2">
      <c r="B19" s="16"/>
      <c r="C19" s="268"/>
      <c r="D19" s="269"/>
      <c r="E19" s="269"/>
      <c r="F19" s="269"/>
      <c r="G19" s="269"/>
      <c r="H19" s="270"/>
      <c r="I19" s="23"/>
      <c r="J19" s="20"/>
    </row>
    <row r="20" spans="2:10" ht="23.1" customHeight="1" thickBot="1" x14ac:dyDescent="0.2">
      <c r="B20" s="167"/>
      <c r="C20" s="271"/>
      <c r="D20" s="272"/>
      <c r="E20" s="272"/>
      <c r="F20" s="272"/>
      <c r="G20" s="272"/>
      <c r="H20" s="273"/>
      <c r="I20" s="23"/>
      <c r="J20" s="20"/>
    </row>
    <row r="21" spans="2:10" ht="20.100000000000001" customHeight="1" thickBot="1" x14ac:dyDescent="0.2"/>
    <row r="22" spans="2:10" ht="27" customHeight="1" thickBot="1" x14ac:dyDescent="0.2">
      <c r="B22" s="8" t="s">
        <v>26</v>
      </c>
      <c r="C22" s="265"/>
      <c r="D22" s="266"/>
      <c r="E22" s="266"/>
      <c r="F22" s="266"/>
      <c r="G22" s="266"/>
      <c r="H22" s="267"/>
      <c r="I22" s="76" t="str">
        <f>IF(C22="","",LEN(C22)&amp;"/120　文字")</f>
        <v/>
      </c>
    </row>
    <row r="23" spans="2:10" ht="27" customHeight="1" thickBot="1" x14ac:dyDescent="0.2">
      <c r="B23" s="10" t="s">
        <v>28</v>
      </c>
      <c r="C23" s="268"/>
      <c r="D23" s="269"/>
      <c r="E23" s="269"/>
      <c r="F23" s="269"/>
      <c r="G23" s="269"/>
      <c r="H23" s="270"/>
      <c r="I23" s="75"/>
    </row>
    <row r="24" spans="2:10" ht="27" customHeight="1" thickBot="1" x14ac:dyDescent="0.2">
      <c r="B24" s="25" t="str">
        <f>IF(B25="","",VLOOKUP(B25,I27:J29,2,FALSE))</f>
        <v/>
      </c>
      <c r="C24" s="268"/>
      <c r="D24" s="269"/>
      <c r="E24" s="269"/>
      <c r="F24" s="269"/>
      <c r="G24" s="269"/>
      <c r="H24" s="270"/>
      <c r="I24" s="123" t="str">
        <f>IF(AND(B25&gt;=2,C22=""),"特記事項は記入していますか？","")</f>
        <v/>
      </c>
    </row>
    <row r="25" spans="2:10" ht="23.1" customHeight="1" thickBot="1" x14ac:dyDescent="0.2">
      <c r="B25" s="275"/>
      <c r="C25" s="268"/>
      <c r="D25" s="269"/>
      <c r="E25" s="269"/>
      <c r="F25" s="269"/>
      <c r="G25" s="269"/>
      <c r="H25" s="270"/>
    </row>
    <row r="26" spans="2:10" ht="23.1" customHeight="1" thickBot="1" x14ac:dyDescent="0.2">
      <c r="B26" s="276"/>
      <c r="C26" s="268"/>
      <c r="D26" s="269"/>
      <c r="E26" s="269"/>
      <c r="F26" s="269"/>
      <c r="G26" s="269"/>
      <c r="H26" s="270"/>
    </row>
    <row r="27" spans="2:10" ht="23.1" customHeight="1" thickBot="1" x14ac:dyDescent="0.2">
      <c r="B27" s="276"/>
      <c r="C27" s="268"/>
      <c r="D27" s="269"/>
      <c r="E27" s="269"/>
      <c r="F27" s="269"/>
      <c r="G27" s="269"/>
      <c r="H27" s="270"/>
      <c r="I27" s="9">
        <v>1</v>
      </c>
      <c r="J27" s="9" t="s">
        <v>49</v>
      </c>
    </row>
    <row r="28" spans="2:10" ht="23.1" customHeight="1" thickBot="1" x14ac:dyDescent="0.2">
      <c r="B28" s="276"/>
      <c r="C28" s="268"/>
      <c r="D28" s="269"/>
      <c r="E28" s="269"/>
      <c r="F28" s="269"/>
      <c r="G28" s="269"/>
      <c r="H28" s="270"/>
      <c r="I28" s="9">
        <v>2</v>
      </c>
      <c r="J28" s="9" t="s">
        <v>50</v>
      </c>
    </row>
    <row r="29" spans="2:10" ht="23.1" customHeight="1" thickBot="1" x14ac:dyDescent="0.2">
      <c r="B29" s="277"/>
      <c r="C29" s="271"/>
      <c r="D29" s="272"/>
      <c r="E29" s="272"/>
      <c r="F29" s="272"/>
      <c r="G29" s="272"/>
      <c r="H29" s="273"/>
      <c r="I29" s="9">
        <v>3</v>
      </c>
      <c r="J29" s="9" t="s">
        <v>51</v>
      </c>
    </row>
    <row r="30" spans="2:10" ht="20.100000000000001" customHeight="1" thickBot="1" x14ac:dyDescent="0.2"/>
    <row r="31" spans="2:10" ht="27" customHeight="1" thickBot="1" x14ac:dyDescent="0.2">
      <c r="B31" s="8" t="s">
        <v>38</v>
      </c>
      <c r="C31" s="265"/>
      <c r="D31" s="266"/>
      <c r="E31" s="266"/>
      <c r="F31" s="266"/>
      <c r="G31" s="266"/>
      <c r="H31" s="267"/>
      <c r="I31" s="76" t="str">
        <f>IF(C31="","",LEN(C31)&amp;"/120　文字")</f>
        <v/>
      </c>
    </row>
    <row r="32" spans="2:10" ht="27" customHeight="1" thickBot="1" x14ac:dyDescent="0.2">
      <c r="B32" s="10" t="s">
        <v>29</v>
      </c>
      <c r="C32" s="268"/>
      <c r="D32" s="269"/>
      <c r="E32" s="269"/>
      <c r="F32" s="269"/>
      <c r="G32" s="269"/>
      <c r="H32" s="270"/>
      <c r="I32" s="75"/>
    </row>
    <row r="33" spans="2:10" ht="27" customHeight="1" thickBot="1" x14ac:dyDescent="0.2">
      <c r="B33" s="25" t="str">
        <f>IF(B34="","",VLOOKUP(B34,I36:J38,2,FALSE))</f>
        <v/>
      </c>
      <c r="C33" s="268"/>
      <c r="D33" s="269"/>
      <c r="E33" s="269"/>
      <c r="F33" s="269"/>
      <c r="G33" s="269"/>
      <c r="H33" s="270"/>
      <c r="I33" s="123" t="str">
        <f>IF(AND(B34&gt;=2,C31=""),"特記事項は記入していますか？","")</f>
        <v/>
      </c>
    </row>
    <row r="34" spans="2:10" ht="23.1" customHeight="1" thickBot="1" x14ac:dyDescent="0.2">
      <c r="B34" s="275"/>
      <c r="C34" s="268"/>
      <c r="D34" s="269"/>
      <c r="E34" s="269"/>
      <c r="F34" s="269"/>
      <c r="G34" s="269"/>
      <c r="H34" s="270"/>
      <c r="I34" s="9"/>
    </row>
    <row r="35" spans="2:10" ht="23.1" customHeight="1" thickBot="1" x14ac:dyDescent="0.2">
      <c r="B35" s="276"/>
      <c r="C35" s="268"/>
      <c r="D35" s="269"/>
      <c r="E35" s="269"/>
      <c r="F35" s="269"/>
      <c r="G35" s="269"/>
      <c r="H35" s="270"/>
      <c r="I35" s="9"/>
    </row>
    <row r="36" spans="2:10" ht="23.1" customHeight="1" thickBot="1" x14ac:dyDescent="0.2">
      <c r="B36" s="276"/>
      <c r="C36" s="268"/>
      <c r="D36" s="269"/>
      <c r="E36" s="269"/>
      <c r="F36" s="269"/>
      <c r="G36" s="269"/>
      <c r="H36" s="270"/>
      <c r="I36" s="9">
        <v>1</v>
      </c>
      <c r="J36" s="9" t="s">
        <v>49</v>
      </c>
    </row>
    <row r="37" spans="2:10" ht="23.1" customHeight="1" thickBot="1" x14ac:dyDescent="0.2">
      <c r="B37" s="276"/>
      <c r="C37" s="268"/>
      <c r="D37" s="269"/>
      <c r="E37" s="269"/>
      <c r="F37" s="269"/>
      <c r="G37" s="269"/>
      <c r="H37" s="270"/>
      <c r="I37" s="9">
        <v>2</v>
      </c>
      <c r="J37" s="9" t="s">
        <v>50</v>
      </c>
    </row>
    <row r="38" spans="2:10" ht="23.1" customHeight="1" thickBot="1" x14ac:dyDescent="0.2">
      <c r="B38" s="277"/>
      <c r="C38" s="271"/>
      <c r="D38" s="272"/>
      <c r="E38" s="272"/>
      <c r="F38" s="272"/>
      <c r="G38" s="272"/>
      <c r="H38" s="273"/>
      <c r="I38" s="9">
        <v>3</v>
      </c>
      <c r="J38" s="9" t="s">
        <v>51</v>
      </c>
    </row>
    <row r="39" spans="2:10" ht="20.100000000000001" customHeight="1" thickBot="1" x14ac:dyDescent="0.2"/>
    <row r="40" spans="2:10" ht="27" customHeight="1" thickBot="1" x14ac:dyDescent="0.2">
      <c r="B40" s="8" t="s">
        <v>39</v>
      </c>
      <c r="C40" s="265"/>
      <c r="D40" s="266"/>
      <c r="E40" s="266"/>
      <c r="F40" s="266"/>
      <c r="G40" s="266"/>
      <c r="H40" s="267"/>
      <c r="I40" s="76" t="str">
        <f>IF(C40="","",LEN(C40)&amp;"/120　文字")</f>
        <v/>
      </c>
    </row>
    <row r="41" spans="2:10" ht="27" customHeight="1" thickBot="1" x14ac:dyDescent="0.2">
      <c r="B41" s="10" t="s">
        <v>30</v>
      </c>
      <c r="C41" s="268"/>
      <c r="D41" s="269"/>
      <c r="E41" s="269"/>
      <c r="F41" s="269"/>
      <c r="G41" s="269"/>
      <c r="H41" s="270"/>
    </row>
    <row r="42" spans="2:10" ht="27" customHeight="1" thickBot="1" x14ac:dyDescent="0.2">
      <c r="B42" s="26" t="str">
        <f>IF(B43="","",VLOOKUP(B43,I44:J47,2,FALSE))</f>
        <v/>
      </c>
      <c r="C42" s="268"/>
      <c r="D42" s="269"/>
      <c r="E42" s="269"/>
      <c r="F42" s="269"/>
      <c r="G42" s="269"/>
      <c r="H42" s="270"/>
      <c r="I42" s="177" t="str">
        <f>IF(AND(B43&gt;=2,C40=""),"特記事項は記入していますか？","")</f>
        <v/>
      </c>
    </row>
    <row r="43" spans="2:10" ht="23.1" customHeight="1" thickBot="1" x14ac:dyDescent="0.2">
      <c r="B43" s="275"/>
      <c r="C43" s="268"/>
      <c r="D43" s="269"/>
      <c r="E43" s="269"/>
      <c r="F43" s="269"/>
      <c r="G43" s="269"/>
      <c r="H43" s="270"/>
      <c r="I43" s="9"/>
    </row>
    <row r="44" spans="2:10" ht="23.1" customHeight="1" thickBot="1" x14ac:dyDescent="0.2">
      <c r="B44" s="276"/>
      <c r="C44" s="268"/>
      <c r="D44" s="269"/>
      <c r="E44" s="269"/>
      <c r="F44" s="269"/>
      <c r="G44" s="269"/>
      <c r="H44" s="270"/>
      <c r="I44" s="9">
        <v>1</v>
      </c>
      <c r="J44" s="9" t="s">
        <v>49</v>
      </c>
    </row>
    <row r="45" spans="2:10" ht="23.1" customHeight="1" thickBot="1" x14ac:dyDescent="0.2">
      <c r="B45" s="276"/>
      <c r="C45" s="268"/>
      <c r="D45" s="269"/>
      <c r="E45" s="269"/>
      <c r="F45" s="269"/>
      <c r="G45" s="269"/>
      <c r="H45" s="270"/>
      <c r="I45" s="9">
        <v>2</v>
      </c>
      <c r="J45" s="9" t="s">
        <v>48</v>
      </c>
    </row>
    <row r="46" spans="2:10" ht="23.1" customHeight="1" thickBot="1" x14ac:dyDescent="0.2">
      <c r="B46" s="276"/>
      <c r="C46" s="268"/>
      <c r="D46" s="269"/>
      <c r="E46" s="269"/>
      <c r="F46" s="269"/>
      <c r="G46" s="269"/>
      <c r="H46" s="270"/>
      <c r="I46" s="9">
        <v>3</v>
      </c>
      <c r="J46" s="9" t="s">
        <v>52</v>
      </c>
    </row>
    <row r="47" spans="2:10" ht="23.1" customHeight="1" thickBot="1" x14ac:dyDescent="0.2">
      <c r="B47" s="277"/>
      <c r="C47" s="271"/>
      <c r="D47" s="272"/>
      <c r="E47" s="272"/>
      <c r="F47" s="272"/>
      <c r="G47" s="272"/>
      <c r="H47" s="273"/>
      <c r="I47" s="9">
        <v>4</v>
      </c>
      <c r="J47" s="9" t="s">
        <v>51</v>
      </c>
    </row>
    <row r="48" spans="2:10" ht="20.100000000000001" customHeight="1" thickBot="1" x14ac:dyDescent="0.2"/>
    <row r="49" spans="2:10" ht="27" customHeight="1" thickBot="1" x14ac:dyDescent="0.2">
      <c r="B49" s="8" t="s">
        <v>40</v>
      </c>
      <c r="C49" s="265"/>
      <c r="D49" s="266"/>
      <c r="E49" s="266"/>
      <c r="F49" s="266"/>
      <c r="G49" s="266"/>
      <c r="H49" s="267"/>
      <c r="I49" s="76" t="str">
        <f>IF(C49="","",LEN(C49)&amp;"/120　文字")</f>
        <v/>
      </c>
    </row>
    <row r="50" spans="2:10" ht="27" customHeight="1" thickBot="1" x14ac:dyDescent="0.2">
      <c r="B50" s="19" t="s">
        <v>191</v>
      </c>
      <c r="C50" s="268"/>
      <c r="D50" s="269"/>
      <c r="E50" s="269"/>
      <c r="F50" s="269"/>
      <c r="G50" s="269"/>
      <c r="H50" s="270"/>
      <c r="I50" s="75"/>
    </row>
    <row r="51" spans="2:10" ht="27" customHeight="1" thickBot="1" x14ac:dyDescent="0.2">
      <c r="B51" s="26" t="str">
        <f>IF(B52="","",VLOOKUP(B52,I54:J56,2,FALSE))</f>
        <v/>
      </c>
      <c r="C51" s="268"/>
      <c r="D51" s="269"/>
      <c r="E51" s="269"/>
      <c r="F51" s="269"/>
      <c r="G51" s="269"/>
      <c r="H51" s="270"/>
      <c r="I51" s="123" t="str">
        <f>IF(AND(B52&gt;=2,C49=""),"特記事項は記入していますか？","")</f>
        <v/>
      </c>
    </row>
    <row r="52" spans="2:10" ht="23.1" customHeight="1" thickBot="1" x14ac:dyDescent="0.2">
      <c r="B52" s="275"/>
      <c r="C52" s="268"/>
      <c r="D52" s="269"/>
      <c r="E52" s="269"/>
      <c r="F52" s="269"/>
      <c r="G52" s="269"/>
      <c r="H52" s="270"/>
      <c r="I52" s="9"/>
    </row>
    <row r="53" spans="2:10" ht="23.1" customHeight="1" thickBot="1" x14ac:dyDescent="0.2">
      <c r="B53" s="276"/>
      <c r="C53" s="268"/>
      <c r="D53" s="269"/>
      <c r="E53" s="269"/>
      <c r="F53" s="269"/>
      <c r="G53" s="269"/>
      <c r="H53" s="270"/>
      <c r="I53" s="9"/>
    </row>
    <row r="54" spans="2:10" ht="23.1" customHeight="1" thickBot="1" x14ac:dyDescent="0.2">
      <c r="B54" s="276"/>
      <c r="C54" s="268"/>
      <c r="D54" s="269"/>
      <c r="E54" s="269"/>
      <c r="F54" s="269"/>
      <c r="G54" s="269"/>
      <c r="H54" s="270"/>
      <c r="I54" s="9">
        <v>1</v>
      </c>
      <c r="J54" s="9" t="s">
        <v>49</v>
      </c>
    </row>
    <row r="55" spans="2:10" ht="23.1" customHeight="1" thickBot="1" x14ac:dyDescent="0.2">
      <c r="B55" s="276"/>
      <c r="C55" s="268"/>
      <c r="D55" s="269"/>
      <c r="E55" s="269"/>
      <c r="F55" s="269"/>
      <c r="G55" s="269"/>
      <c r="H55" s="270"/>
      <c r="I55" s="9">
        <v>2</v>
      </c>
      <c r="J55" s="9" t="s">
        <v>52</v>
      </c>
    </row>
    <row r="56" spans="2:10" ht="23.1" customHeight="1" thickBot="1" x14ac:dyDescent="0.2">
      <c r="B56" s="277"/>
      <c r="C56" s="271"/>
      <c r="D56" s="272"/>
      <c r="E56" s="272"/>
      <c r="F56" s="272"/>
      <c r="G56" s="272"/>
      <c r="H56" s="273"/>
      <c r="I56" s="9">
        <v>3</v>
      </c>
      <c r="J56" s="9" t="s">
        <v>51</v>
      </c>
    </row>
    <row r="57" spans="2:10" ht="20.100000000000001" customHeight="1" thickBot="1" x14ac:dyDescent="0.2"/>
    <row r="58" spans="2:10" ht="27" customHeight="1" thickBot="1" x14ac:dyDescent="0.2">
      <c r="B58" s="8" t="s">
        <v>41</v>
      </c>
      <c r="C58" s="265"/>
      <c r="D58" s="266"/>
      <c r="E58" s="266"/>
      <c r="F58" s="266"/>
      <c r="G58" s="266"/>
      <c r="H58" s="267"/>
      <c r="I58" s="76" t="str">
        <f>IF(C58="","",LEN(C58)&amp;"/120　文字")</f>
        <v/>
      </c>
    </row>
    <row r="59" spans="2:10" ht="27" customHeight="1" thickBot="1" x14ac:dyDescent="0.2">
      <c r="B59" s="10" t="s">
        <v>31</v>
      </c>
      <c r="C59" s="268"/>
      <c r="D59" s="269"/>
      <c r="E59" s="269"/>
      <c r="F59" s="269"/>
      <c r="G59" s="269"/>
      <c r="H59" s="270"/>
      <c r="I59" s="75"/>
    </row>
    <row r="60" spans="2:10" ht="27" customHeight="1" thickBot="1" x14ac:dyDescent="0.2">
      <c r="B60" s="25" t="str">
        <f>IF(B61="","",VLOOKUP(B61,I63:J65,2,FALSE))</f>
        <v/>
      </c>
      <c r="C60" s="268"/>
      <c r="D60" s="269"/>
      <c r="E60" s="269"/>
      <c r="F60" s="269"/>
      <c r="G60" s="269"/>
      <c r="H60" s="270"/>
      <c r="I60" s="123" t="str">
        <f>IF(AND(B61&gt;=2,C58=""),"特記事項は記入していますか？","")</f>
        <v/>
      </c>
    </row>
    <row r="61" spans="2:10" ht="23.1" customHeight="1" thickBot="1" x14ac:dyDescent="0.2">
      <c r="B61" s="275"/>
      <c r="C61" s="268"/>
      <c r="D61" s="269"/>
      <c r="E61" s="269"/>
      <c r="F61" s="269"/>
      <c r="G61" s="269"/>
      <c r="H61" s="270"/>
      <c r="I61" s="9"/>
    </row>
    <row r="62" spans="2:10" ht="23.1" customHeight="1" thickBot="1" x14ac:dyDescent="0.2">
      <c r="B62" s="276"/>
      <c r="C62" s="268"/>
      <c r="D62" s="269"/>
      <c r="E62" s="269"/>
      <c r="F62" s="269"/>
      <c r="G62" s="269"/>
      <c r="H62" s="270"/>
      <c r="I62" s="9"/>
    </row>
    <row r="63" spans="2:10" ht="23.1" customHeight="1" thickBot="1" x14ac:dyDescent="0.2">
      <c r="B63" s="276"/>
      <c r="C63" s="268"/>
      <c r="D63" s="269"/>
      <c r="E63" s="269"/>
      <c r="F63" s="269"/>
      <c r="G63" s="269"/>
      <c r="H63" s="270"/>
      <c r="I63" s="9">
        <v>1</v>
      </c>
      <c r="J63" s="9" t="s">
        <v>49</v>
      </c>
    </row>
    <row r="64" spans="2:10" ht="23.1" customHeight="1" thickBot="1" x14ac:dyDescent="0.2">
      <c r="B64" s="276"/>
      <c r="C64" s="268"/>
      <c r="D64" s="269"/>
      <c r="E64" s="269"/>
      <c r="F64" s="269"/>
      <c r="G64" s="269"/>
      <c r="H64" s="270"/>
      <c r="I64" s="9">
        <v>2</v>
      </c>
      <c r="J64" s="9" t="s">
        <v>50</v>
      </c>
    </row>
    <row r="65" spans="2:10" ht="23.1" customHeight="1" thickBot="1" x14ac:dyDescent="0.2">
      <c r="B65" s="277"/>
      <c r="C65" s="271"/>
      <c r="D65" s="272"/>
      <c r="E65" s="272"/>
      <c r="F65" s="272"/>
      <c r="G65" s="272"/>
      <c r="H65" s="273"/>
      <c r="I65" s="9">
        <v>3</v>
      </c>
      <c r="J65" s="9" t="s">
        <v>51</v>
      </c>
    </row>
    <row r="66" spans="2:10" ht="20.100000000000001" customHeight="1" thickBot="1" x14ac:dyDescent="0.2"/>
    <row r="67" spans="2:10" ht="27" customHeight="1" thickBot="1" x14ac:dyDescent="0.2">
      <c r="B67" s="8" t="s">
        <v>42</v>
      </c>
      <c r="C67" s="265"/>
      <c r="D67" s="266"/>
      <c r="E67" s="266"/>
      <c r="F67" s="266"/>
      <c r="G67" s="266"/>
      <c r="H67" s="267"/>
      <c r="I67" s="76" t="str">
        <f>IF(C67="","",LEN(C67)&amp;"/120　文字")</f>
        <v/>
      </c>
    </row>
    <row r="68" spans="2:10" ht="27" customHeight="1" thickBot="1" x14ac:dyDescent="0.2">
      <c r="B68" s="10" t="s">
        <v>32</v>
      </c>
      <c r="C68" s="268"/>
      <c r="D68" s="269"/>
      <c r="E68" s="269"/>
      <c r="F68" s="269"/>
      <c r="G68" s="269"/>
      <c r="H68" s="270"/>
      <c r="I68" s="75"/>
    </row>
    <row r="69" spans="2:10" ht="27" customHeight="1" thickBot="1" x14ac:dyDescent="0.2">
      <c r="B69" s="25" t="str">
        <f>IF(B70="","",VLOOKUP(B70,I72:J74,2,FALSE))</f>
        <v/>
      </c>
      <c r="C69" s="268"/>
      <c r="D69" s="269"/>
      <c r="E69" s="269"/>
      <c r="F69" s="269"/>
      <c r="G69" s="269"/>
      <c r="H69" s="270"/>
      <c r="I69" s="123" t="str">
        <f>IF(AND(B70&gt;=2,C67=""),"特記事項は記入していますか？","")</f>
        <v/>
      </c>
    </row>
    <row r="70" spans="2:10" ht="23.1" customHeight="1" thickBot="1" x14ac:dyDescent="0.2">
      <c r="B70" s="275"/>
      <c r="C70" s="268"/>
      <c r="D70" s="269"/>
      <c r="E70" s="269"/>
      <c r="F70" s="269"/>
      <c r="G70" s="269"/>
      <c r="H70" s="270"/>
      <c r="I70" s="9"/>
    </row>
    <row r="71" spans="2:10" ht="23.1" customHeight="1" thickBot="1" x14ac:dyDescent="0.2">
      <c r="B71" s="276"/>
      <c r="C71" s="268"/>
      <c r="D71" s="269"/>
      <c r="E71" s="269"/>
      <c r="F71" s="269"/>
      <c r="G71" s="269"/>
      <c r="H71" s="270"/>
      <c r="I71" s="9"/>
    </row>
    <row r="72" spans="2:10" ht="23.1" customHeight="1" thickBot="1" x14ac:dyDescent="0.2">
      <c r="B72" s="276"/>
      <c r="C72" s="268"/>
      <c r="D72" s="269"/>
      <c r="E72" s="269"/>
      <c r="F72" s="269"/>
      <c r="G72" s="269"/>
      <c r="H72" s="270"/>
      <c r="I72" s="9">
        <v>1</v>
      </c>
      <c r="J72" s="9" t="s">
        <v>49</v>
      </c>
    </row>
    <row r="73" spans="2:10" ht="23.1" customHeight="1" thickBot="1" x14ac:dyDescent="0.2">
      <c r="B73" s="276"/>
      <c r="C73" s="268"/>
      <c r="D73" s="269"/>
      <c r="E73" s="269"/>
      <c r="F73" s="269"/>
      <c r="G73" s="269"/>
      <c r="H73" s="270"/>
      <c r="I73" s="9">
        <v>2</v>
      </c>
      <c r="J73" s="9" t="s">
        <v>50</v>
      </c>
    </row>
    <row r="74" spans="2:10" ht="23.1" customHeight="1" thickBot="1" x14ac:dyDescent="0.2">
      <c r="B74" s="277"/>
      <c r="C74" s="271"/>
      <c r="D74" s="272"/>
      <c r="E74" s="272"/>
      <c r="F74" s="272"/>
      <c r="G74" s="272"/>
      <c r="H74" s="273"/>
      <c r="I74" s="9">
        <v>3</v>
      </c>
      <c r="J74" s="9" t="s">
        <v>51</v>
      </c>
    </row>
    <row r="75" spans="2:10" ht="20.100000000000001" customHeight="1" thickBot="1" x14ac:dyDescent="0.2"/>
    <row r="76" spans="2:10" ht="27" customHeight="1" thickBot="1" x14ac:dyDescent="0.2">
      <c r="B76" s="8" t="s">
        <v>43</v>
      </c>
      <c r="C76" s="265"/>
      <c r="D76" s="266"/>
      <c r="E76" s="266"/>
      <c r="F76" s="266"/>
      <c r="G76" s="266"/>
      <c r="H76" s="267"/>
      <c r="I76" s="76" t="str">
        <f>IF(C76="","",LEN(C76)&amp;"/120　文字")</f>
        <v/>
      </c>
    </row>
    <row r="77" spans="2:10" ht="27" customHeight="1" thickBot="1" x14ac:dyDescent="0.2">
      <c r="B77" s="19" t="s">
        <v>192</v>
      </c>
      <c r="C77" s="268"/>
      <c r="D77" s="269"/>
      <c r="E77" s="269"/>
      <c r="F77" s="269"/>
      <c r="G77" s="269"/>
      <c r="H77" s="270"/>
      <c r="I77" s="75"/>
    </row>
    <row r="78" spans="2:10" ht="27" customHeight="1" thickBot="1" x14ac:dyDescent="0.2">
      <c r="B78" s="26" t="str">
        <f>IF(B79="","",VLOOKUP(B79,I81:J83,2,FALSE))</f>
        <v/>
      </c>
      <c r="C78" s="268"/>
      <c r="D78" s="269"/>
      <c r="E78" s="269"/>
      <c r="F78" s="269"/>
      <c r="G78" s="269"/>
      <c r="H78" s="270"/>
      <c r="I78" s="123" t="str">
        <f>IF(AND(B79&gt;=2,C76=""),"特記事項は記入していますか？","")</f>
        <v/>
      </c>
    </row>
    <row r="79" spans="2:10" ht="23.1" customHeight="1" thickBot="1" x14ac:dyDescent="0.2">
      <c r="B79" s="275"/>
      <c r="C79" s="268"/>
      <c r="D79" s="269"/>
      <c r="E79" s="269"/>
      <c r="F79" s="269"/>
      <c r="G79" s="269"/>
      <c r="H79" s="270"/>
      <c r="I79" s="9"/>
    </row>
    <row r="80" spans="2:10" ht="23.1" customHeight="1" thickBot="1" x14ac:dyDescent="0.2">
      <c r="B80" s="276"/>
      <c r="C80" s="268"/>
      <c r="D80" s="269"/>
      <c r="E80" s="269"/>
      <c r="F80" s="269"/>
      <c r="G80" s="269"/>
      <c r="H80" s="270"/>
      <c r="I80" s="9"/>
    </row>
    <row r="81" spans="2:10" ht="23.1" customHeight="1" thickBot="1" x14ac:dyDescent="0.2">
      <c r="B81" s="276"/>
      <c r="C81" s="268"/>
      <c r="D81" s="269"/>
      <c r="E81" s="269"/>
      <c r="F81" s="269"/>
      <c r="G81" s="269"/>
      <c r="H81" s="270"/>
      <c r="I81" s="9">
        <v>1</v>
      </c>
      <c r="J81" s="9" t="s">
        <v>49</v>
      </c>
    </row>
    <row r="82" spans="2:10" ht="23.1" customHeight="1" thickBot="1" x14ac:dyDescent="0.2">
      <c r="B82" s="276"/>
      <c r="C82" s="268"/>
      <c r="D82" s="269"/>
      <c r="E82" s="269"/>
      <c r="F82" s="269"/>
      <c r="G82" s="269"/>
      <c r="H82" s="270"/>
      <c r="I82" s="9">
        <v>2</v>
      </c>
      <c r="J82" s="9" t="s">
        <v>52</v>
      </c>
    </row>
    <row r="83" spans="2:10" ht="23.1" customHeight="1" thickBot="1" x14ac:dyDescent="0.2">
      <c r="B83" s="277"/>
      <c r="C83" s="271"/>
      <c r="D83" s="272"/>
      <c r="E83" s="272"/>
      <c r="F83" s="272"/>
      <c r="G83" s="272"/>
      <c r="H83" s="273"/>
      <c r="I83" s="9">
        <v>3</v>
      </c>
      <c r="J83" s="9" t="s">
        <v>51</v>
      </c>
    </row>
    <row r="84" spans="2:10" ht="20.100000000000001" customHeight="1" thickBot="1" x14ac:dyDescent="0.2"/>
    <row r="85" spans="2:10" ht="27" customHeight="1" thickBot="1" x14ac:dyDescent="0.2">
      <c r="B85" s="8" t="s">
        <v>44</v>
      </c>
      <c r="C85" s="265"/>
      <c r="D85" s="266"/>
      <c r="E85" s="266"/>
      <c r="F85" s="266"/>
      <c r="G85" s="266"/>
      <c r="H85" s="267"/>
      <c r="I85" s="76" t="str">
        <f>IF(C85="","",LEN(C85)&amp;"/120　文字")</f>
        <v/>
      </c>
    </row>
    <row r="86" spans="2:10" ht="27" customHeight="1" thickBot="1" x14ac:dyDescent="0.2">
      <c r="B86" s="10" t="s">
        <v>33</v>
      </c>
      <c r="C86" s="268"/>
      <c r="D86" s="269"/>
      <c r="E86" s="269"/>
      <c r="F86" s="269"/>
      <c r="G86" s="269"/>
      <c r="H86" s="270"/>
      <c r="I86" s="75"/>
    </row>
    <row r="87" spans="2:10" ht="27" customHeight="1" thickBot="1" x14ac:dyDescent="0.2">
      <c r="B87" s="131" t="str">
        <f>IF(B88="","",VLOOKUP(B88,I89:J92,2,FALSE))</f>
        <v/>
      </c>
      <c r="C87" s="268"/>
      <c r="D87" s="269"/>
      <c r="E87" s="269"/>
      <c r="F87" s="269"/>
      <c r="G87" s="269"/>
      <c r="H87" s="270"/>
      <c r="I87" s="123" t="str">
        <f>IF(AND(B88&gt;=2,C85=""),"特記事項は記入していますか？","")</f>
        <v/>
      </c>
    </row>
    <row r="88" spans="2:10" ht="23.1" customHeight="1" thickBot="1" x14ac:dyDescent="0.2">
      <c r="B88" s="275"/>
      <c r="C88" s="268"/>
      <c r="D88" s="269"/>
      <c r="E88" s="269"/>
      <c r="F88" s="269"/>
      <c r="G88" s="269"/>
      <c r="H88" s="270"/>
      <c r="I88" s="9"/>
    </row>
    <row r="89" spans="2:10" ht="23.1" customHeight="1" thickBot="1" x14ac:dyDescent="0.2">
      <c r="B89" s="276"/>
      <c r="C89" s="268"/>
      <c r="D89" s="269"/>
      <c r="E89" s="269"/>
      <c r="F89" s="269"/>
      <c r="G89" s="269"/>
      <c r="H89" s="270"/>
      <c r="I89" s="9">
        <v>1</v>
      </c>
      <c r="J89" s="9" t="s">
        <v>90</v>
      </c>
    </row>
    <row r="90" spans="2:10" ht="23.1" customHeight="1" thickBot="1" x14ac:dyDescent="0.2">
      <c r="B90" s="276"/>
      <c r="C90" s="268"/>
      <c r="D90" s="269"/>
      <c r="E90" s="269"/>
      <c r="F90" s="269"/>
      <c r="G90" s="269"/>
      <c r="H90" s="270"/>
      <c r="I90" s="9">
        <v>2</v>
      </c>
      <c r="J90" s="9" t="s">
        <v>53</v>
      </c>
    </row>
    <row r="91" spans="2:10" ht="23.1" customHeight="1" thickBot="1" x14ac:dyDescent="0.2">
      <c r="B91" s="276"/>
      <c r="C91" s="268"/>
      <c r="D91" s="269"/>
      <c r="E91" s="269"/>
      <c r="F91" s="269"/>
      <c r="G91" s="269"/>
      <c r="H91" s="270"/>
      <c r="I91" s="9">
        <v>3</v>
      </c>
      <c r="J91" s="9" t="s">
        <v>54</v>
      </c>
    </row>
    <row r="92" spans="2:10" ht="23.1" customHeight="1" thickBot="1" x14ac:dyDescent="0.2">
      <c r="B92" s="277"/>
      <c r="C92" s="271"/>
      <c r="D92" s="272"/>
      <c r="E92" s="272"/>
      <c r="F92" s="272"/>
      <c r="G92" s="272"/>
      <c r="H92" s="273"/>
      <c r="I92" s="9">
        <v>4</v>
      </c>
      <c r="J92" s="9" t="s">
        <v>55</v>
      </c>
    </row>
    <row r="93" spans="2:10" ht="20.100000000000001" customHeight="1" thickBot="1" x14ac:dyDescent="0.2"/>
    <row r="94" spans="2:10" ht="27" customHeight="1" thickBot="1" x14ac:dyDescent="0.2">
      <c r="B94" s="8" t="s">
        <v>45</v>
      </c>
      <c r="C94" s="274"/>
      <c r="D94" s="266"/>
      <c r="E94" s="266"/>
      <c r="F94" s="266"/>
      <c r="G94" s="266"/>
      <c r="H94" s="267"/>
      <c r="I94" s="76" t="str">
        <f>IF(C94="","",LEN(C94)&amp;"/120　文字")</f>
        <v/>
      </c>
    </row>
    <row r="95" spans="2:10" ht="27" customHeight="1" thickBot="1" x14ac:dyDescent="0.2">
      <c r="B95" s="10" t="s">
        <v>34</v>
      </c>
      <c r="C95" s="268"/>
      <c r="D95" s="269"/>
      <c r="E95" s="269"/>
      <c r="F95" s="269"/>
      <c r="G95" s="269"/>
      <c r="H95" s="270"/>
      <c r="I95" s="75"/>
    </row>
    <row r="96" spans="2:10" ht="27" customHeight="1" thickBot="1" x14ac:dyDescent="0.2">
      <c r="B96" s="26" t="str">
        <f>IF(B97="","",VLOOKUP(B97,I99:J101,2,FALSE))</f>
        <v/>
      </c>
      <c r="C96" s="268"/>
      <c r="D96" s="269"/>
      <c r="E96" s="269"/>
      <c r="F96" s="269"/>
      <c r="G96" s="269"/>
      <c r="H96" s="270"/>
      <c r="I96" s="123" t="str">
        <f>IF(AND(B97&gt;=2,C94=""),"特記事項は記入していますか？","")</f>
        <v/>
      </c>
    </row>
    <row r="97" spans="2:10" ht="23.1" customHeight="1" thickBot="1" x14ac:dyDescent="0.2">
      <c r="B97" s="275"/>
      <c r="C97" s="268"/>
      <c r="D97" s="269"/>
      <c r="E97" s="269"/>
      <c r="F97" s="269"/>
      <c r="G97" s="269"/>
      <c r="H97" s="270"/>
      <c r="I97" s="9"/>
    </row>
    <row r="98" spans="2:10" ht="23.1" customHeight="1" thickBot="1" x14ac:dyDescent="0.2">
      <c r="B98" s="276"/>
      <c r="C98" s="268"/>
      <c r="D98" s="269"/>
      <c r="E98" s="269"/>
      <c r="F98" s="269"/>
      <c r="G98" s="269"/>
      <c r="H98" s="270"/>
      <c r="I98" s="9"/>
    </row>
    <row r="99" spans="2:10" ht="23.1" customHeight="1" thickBot="1" x14ac:dyDescent="0.2">
      <c r="B99" s="276"/>
      <c r="C99" s="268"/>
      <c r="D99" s="269"/>
      <c r="E99" s="269"/>
      <c r="F99" s="269"/>
      <c r="G99" s="269"/>
      <c r="H99" s="270"/>
      <c r="I99" s="9">
        <v>1</v>
      </c>
      <c r="J99" s="9" t="s">
        <v>90</v>
      </c>
    </row>
    <row r="100" spans="2:10" ht="23.1" customHeight="1" thickBot="1" x14ac:dyDescent="0.2">
      <c r="B100" s="276"/>
      <c r="C100" s="268"/>
      <c r="D100" s="269"/>
      <c r="E100" s="269"/>
      <c r="F100" s="269"/>
      <c r="G100" s="269"/>
      <c r="H100" s="270"/>
      <c r="I100" s="9">
        <v>2</v>
      </c>
      <c r="J100" s="9" t="s">
        <v>53</v>
      </c>
    </row>
    <row r="101" spans="2:10" ht="23.1" customHeight="1" thickBot="1" x14ac:dyDescent="0.2">
      <c r="B101" s="277"/>
      <c r="C101" s="271"/>
      <c r="D101" s="272"/>
      <c r="E101" s="272"/>
      <c r="F101" s="272"/>
      <c r="G101" s="272"/>
      <c r="H101" s="273"/>
      <c r="I101" s="9">
        <v>3</v>
      </c>
      <c r="J101" s="9" t="s">
        <v>54</v>
      </c>
    </row>
    <row r="102" spans="2:10" ht="20.100000000000001" customHeight="1" thickBot="1" x14ac:dyDescent="0.2"/>
    <row r="103" spans="2:10" ht="27" customHeight="1" thickBot="1" x14ac:dyDescent="0.2">
      <c r="B103" s="8" t="s">
        <v>46</v>
      </c>
      <c r="C103" s="265"/>
      <c r="D103" s="266"/>
      <c r="E103" s="266"/>
      <c r="F103" s="266"/>
      <c r="G103" s="266"/>
      <c r="H103" s="267"/>
      <c r="I103" s="76" t="str">
        <f>IF(C103="","",LEN(C103)&amp;"/120　文字")</f>
        <v/>
      </c>
    </row>
    <row r="104" spans="2:10" ht="27" customHeight="1" thickBot="1" x14ac:dyDescent="0.2">
      <c r="B104" s="10" t="s">
        <v>35</v>
      </c>
      <c r="C104" s="268"/>
      <c r="D104" s="269"/>
      <c r="E104" s="269"/>
      <c r="F104" s="269"/>
      <c r="G104" s="269"/>
      <c r="H104" s="270"/>
      <c r="I104" s="178" t="str">
        <f>IF(AND(B106&gt;=2,C103=""),"特記事項は記入していますか？","")</f>
        <v/>
      </c>
    </row>
    <row r="105" spans="2:10" ht="27" customHeight="1" thickBot="1" x14ac:dyDescent="0.2">
      <c r="B105" s="26" t="str">
        <f>IF(B106="","",VLOOKUP(B106,I106:J110,2,FALSE))</f>
        <v/>
      </c>
      <c r="C105" s="268"/>
      <c r="D105" s="269"/>
      <c r="E105" s="269"/>
      <c r="F105" s="269"/>
      <c r="G105" s="269"/>
      <c r="H105" s="270"/>
      <c r="I105" s="9"/>
    </row>
    <row r="106" spans="2:10" ht="23.1" customHeight="1" thickBot="1" x14ac:dyDescent="0.2">
      <c r="B106" s="275"/>
      <c r="C106" s="268"/>
      <c r="D106" s="269"/>
      <c r="E106" s="269"/>
      <c r="F106" s="269"/>
      <c r="G106" s="269"/>
      <c r="H106" s="270"/>
      <c r="I106" s="9">
        <v>1</v>
      </c>
      <c r="J106" s="9" t="s">
        <v>56</v>
      </c>
    </row>
    <row r="107" spans="2:10" ht="23.1" customHeight="1" thickBot="1" x14ac:dyDescent="0.2">
      <c r="B107" s="276"/>
      <c r="C107" s="268"/>
      <c r="D107" s="269"/>
      <c r="E107" s="269"/>
      <c r="F107" s="269"/>
      <c r="G107" s="269"/>
      <c r="H107" s="270"/>
      <c r="I107" s="9">
        <v>2</v>
      </c>
      <c r="J107" s="9" t="s">
        <v>57</v>
      </c>
    </row>
    <row r="108" spans="2:10" ht="23.1" customHeight="1" thickBot="1" x14ac:dyDescent="0.2">
      <c r="B108" s="276"/>
      <c r="C108" s="268"/>
      <c r="D108" s="269"/>
      <c r="E108" s="269"/>
      <c r="F108" s="269"/>
      <c r="G108" s="269"/>
      <c r="H108" s="270"/>
      <c r="I108" s="9">
        <v>3</v>
      </c>
      <c r="J108" s="9" t="s">
        <v>58</v>
      </c>
    </row>
    <row r="109" spans="2:10" ht="23.1" customHeight="1" thickBot="1" x14ac:dyDescent="0.2">
      <c r="B109" s="276"/>
      <c r="C109" s="268"/>
      <c r="D109" s="269"/>
      <c r="E109" s="269"/>
      <c r="F109" s="269"/>
      <c r="G109" s="269"/>
      <c r="H109" s="270"/>
      <c r="I109" s="9">
        <v>4</v>
      </c>
      <c r="J109" s="9" t="s">
        <v>59</v>
      </c>
    </row>
    <row r="110" spans="2:10" ht="23.1" customHeight="1" thickBot="1" x14ac:dyDescent="0.2">
      <c r="B110" s="277"/>
      <c r="C110" s="271"/>
      <c r="D110" s="272"/>
      <c r="E110" s="272"/>
      <c r="F110" s="272"/>
      <c r="G110" s="272"/>
      <c r="H110" s="273"/>
      <c r="I110" s="9">
        <v>5</v>
      </c>
      <c r="J110" s="9" t="s">
        <v>60</v>
      </c>
    </row>
    <row r="111" spans="2:10" ht="20.100000000000001" customHeight="1" thickBot="1" x14ac:dyDescent="0.2"/>
    <row r="112" spans="2:10" ht="27" customHeight="1" thickBot="1" x14ac:dyDescent="0.2">
      <c r="B112" s="8" t="s">
        <v>47</v>
      </c>
      <c r="C112" s="265"/>
      <c r="D112" s="266"/>
      <c r="E112" s="266"/>
      <c r="F112" s="266"/>
      <c r="G112" s="266"/>
      <c r="H112" s="267"/>
      <c r="I112" s="76" t="str">
        <f>IF(C112="","",LEN(C112)&amp;"/120　文字")</f>
        <v/>
      </c>
    </row>
    <row r="113" spans="2:10" ht="27" customHeight="1" thickBot="1" x14ac:dyDescent="0.2">
      <c r="B113" s="10" t="s">
        <v>36</v>
      </c>
      <c r="C113" s="268"/>
      <c r="D113" s="269"/>
      <c r="E113" s="269"/>
      <c r="F113" s="269"/>
      <c r="G113" s="269"/>
      <c r="H113" s="270"/>
      <c r="I113" s="178" t="str">
        <f>IF(AND(B115&gt;=2,C112=""),"特記事項は記入していますか？","")</f>
        <v/>
      </c>
    </row>
    <row r="114" spans="2:10" ht="27" customHeight="1" thickBot="1" x14ac:dyDescent="0.2">
      <c r="B114" s="26" t="str">
        <f>IF(B115="","",VLOOKUP(B115,I115:J119,2,FALSE))</f>
        <v/>
      </c>
      <c r="C114" s="268"/>
      <c r="D114" s="269"/>
      <c r="E114" s="269"/>
      <c r="F114" s="269"/>
      <c r="G114" s="269"/>
      <c r="H114" s="270"/>
      <c r="I114" s="9"/>
    </row>
    <row r="115" spans="2:10" ht="23.1" customHeight="1" thickBot="1" x14ac:dyDescent="0.2">
      <c r="B115" s="275"/>
      <c r="C115" s="268"/>
      <c r="D115" s="269"/>
      <c r="E115" s="269"/>
      <c r="F115" s="269"/>
      <c r="G115" s="269"/>
      <c r="H115" s="270"/>
      <c r="I115" s="9">
        <v>1</v>
      </c>
      <c r="J115" s="9" t="s">
        <v>56</v>
      </c>
    </row>
    <row r="116" spans="2:10" ht="23.1" customHeight="1" thickBot="1" x14ac:dyDescent="0.2">
      <c r="B116" s="276"/>
      <c r="C116" s="268"/>
      <c r="D116" s="269"/>
      <c r="E116" s="269"/>
      <c r="F116" s="269"/>
      <c r="G116" s="269"/>
      <c r="H116" s="270"/>
      <c r="I116" s="9">
        <v>2</v>
      </c>
      <c r="J116" s="9" t="s">
        <v>61</v>
      </c>
    </row>
    <row r="117" spans="2:10" ht="23.1" customHeight="1" thickBot="1" x14ac:dyDescent="0.2">
      <c r="B117" s="276"/>
      <c r="C117" s="268"/>
      <c r="D117" s="269"/>
      <c r="E117" s="269"/>
      <c r="F117" s="269"/>
      <c r="G117" s="269"/>
      <c r="H117" s="270"/>
      <c r="I117" s="9">
        <v>3</v>
      </c>
      <c r="J117" s="9" t="s">
        <v>62</v>
      </c>
    </row>
    <row r="118" spans="2:10" ht="23.1" customHeight="1" thickBot="1" x14ac:dyDescent="0.2">
      <c r="B118" s="276"/>
      <c r="C118" s="268"/>
      <c r="D118" s="269"/>
      <c r="E118" s="269"/>
      <c r="F118" s="269"/>
      <c r="G118" s="269"/>
      <c r="H118" s="270"/>
      <c r="I118" s="9">
        <v>4</v>
      </c>
      <c r="J118" s="9" t="s">
        <v>63</v>
      </c>
    </row>
    <row r="119" spans="2:10" ht="23.1" customHeight="1" thickBot="1" x14ac:dyDescent="0.2">
      <c r="B119" s="277"/>
      <c r="C119" s="271"/>
      <c r="D119" s="272"/>
      <c r="E119" s="272"/>
      <c r="F119" s="272"/>
      <c r="G119" s="272"/>
      <c r="H119" s="273"/>
      <c r="I119" s="9">
        <v>5</v>
      </c>
      <c r="J119" s="9" t="s">
        <v>60</v>
      </c>
    </row>
  </sheetData>
  <sheetProtection password="C7C4" sheet="1" objects="1" scenarios="1" selectLockedCells="1"/>
  <mergeCells count="28">
    <mergeCell ref="B115:B119"/>
    <mergeCell ref="B52:B56"/>
    <mergeCell ref="B61:B65"/>
    <mergeCell ref="B70:B74"/>
    <mergeCell ref="B79:B83"/>
    <mergeCell ref="B88:B92"/>
    <mergeCell ref="B97:B101"/>
    <mergeCell ref="B25:B29"/>
    <mergeCell ref="B34:B38"/>
    <mergeCell ref="B43:B47"/>
    <mergeCell ref="B106:B110"/>
    <mergeCell ref="C1:H1"/>
    <mergeCell ref="E2:F3"/>
    <mergeCell ref="C2:D3"/>
    <mergeCell ref="G2:H3"/>
    <mergeCell ref="C112:H119"/>
    <mergeCell ref="C4:H11"/>
    <mergeCell ref="C13:H20"/>
    <mergeCell ref="C22:H29"/>
    <mergeCell ref="C31:H38"/>
    <mergeCell ref="C40:H47"/>
    <mergeCell ref="C49:H56"/>
    <mergeCell ref="C58:H65"/>
    <mergeCell ref="C67:H74"/>
    <mergeCell ref="C76:H83"/>
    <mergeCell ref="C85:H92"/>
    <mergeCell ref="C94:H101"/>
    <mergeCell ref="C103:H110"/>
  </mergeCells>
  <phoneticPr fontId="1"/>
  <conditionalFormatting sqref="B25:B29 B34:B38 B43:B47 B52:B56 B61:B65 B70:B74 B79:B83 B88:B92 B97:B101 B106:B110 B115:B119">
    <cfRule type="cellIs" dxfId="23" priority="1" operator="lessThan">
      <formula>1</formula>
    </cfRule>
  </conditionalFormatting>
  <dataValidations count="4">
    <dataValidation type="whole" imeMode="halfAlpha" allowBlank="1" showInputMessage="1" showErrorMessage="1" sqref="B97:B101 B25:B29 B34:B38 B52:B56 B61:B65 B70:B74 B79:B83" xr:uid="{00000000-0002-0000-0100-000000000000}">
      <formula1>1</formula1>
      <formula2>3</formula2>
    </dataValidation>
    <dataValidation type="whole" imeMode="halfAlpha" allowBlank="1" showInputMessage="1" showErrorMessage="1" sqref="B88:B92 B43:B47" xr:uid="{00000000-0002-0000-0100-000001000000}">
      <formula1>1</formula1>
      <formula2>4</formula2>
    </dataValidation>
    <dataValidation type="whole" imeMode="halfAlpha" allowBlank="1" showInputMessage="1" showErrorMessage="1" sqref="B115:B119 B106:B110" xr:uid="{00000000-0002-0000-0100-000002000000}">
      <formula1>1</formula1>
      <formula2>5</formula2>
    </dataValidation>
    <dataValidation type="textLength" imeMode="hiragana" operator="lessThanOrEqual" allowBlank="1" showInputMessage="1" showErrorMessage="1" sqref="C112:H119 C4:H11 C13:H20 C22:H29 C31:H38 C40:H47 C49:H56 C58:H65 C67:H74 C76:H83 C85:H92 C94:H101 C103:H110" xr:uid="{00000000-0002-0000-0100-000003000000}">
      <formula1>120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xdr:colOff>
                    <xdr:row>6</xdr:row>
                    <xdr:rowOff>28575</xdr:rowOff>
                  </from>
                  <to>
                    <xdr:col>1</xdr:col>
                    <xdr:colOff>800100</xdr:colOff>
                    <xdr:row>6</xdr:row>
                    <xdr:rowOff>180975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28575</xdr:colOff>
                    <xdr:row>7</xdr:row>
                    <xdr:rowOff>28575</xdr:rowOff>
                  </from>
                  <to>
                    <xdr:col>1</xdr:col>
                    <xdr:colOff>800100</xdr:colOff>
                    <xdr:row>7</xdr:row>
                    <xdr:rowOff>180975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28575</xdr:colOff>
                    <xdr:row>8</xdr:row>
                    <xdr:rowOff>28575</xdr:rowOff>
                  </from>
                  <to>
                    <xdr:col>1</xdr:col>
                    <xdr:colOff>800100</xdr:colOff>
                    <xdr:row>8</xdr:row>
                    <xdr:rowOff>200025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28575</xdr:colOff>
                    <xdr:row>9</xdr:row>
                    <xdr:rowOff>38100</xdr:rowOff>
                  </from>
                  <to>
                    <xdr:col>1</xdr:col>
                    <xdr:colOff>800100</xdr:colOff>
                    <xdr:row>9</xdr:row>
                    <xdr:rowOff>209550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xdr:col>
                    <xdr:colOff>28575</xdr:colOff>
                    <xdr:row>10</xdr:row>
                    <xdr:rowOff>28575</xdr:rowOff>
                  </from>
                  <to>
                    <xdr:col>1</xdr:col>
                    <xdr:colOff>800100</xdr:colOff>
                    <xdr:row>10</xdr:row>
                    <xdr:rowOff>200025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xdr:col>
                    <xdr:colOff>28575</xdr:colOff>
                    <xdr:row>19</xdr:row>
                    <xdr:rowOff>28575</xdr:rowOff>
                  </from>
                  <to>
                    <xdr:col>1</xdr:col>
                    <xdr:colOff>800100</xdr:colOff>
                    <xdr:row>19</xdr:row>
                    <xdr:rowOff>200025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1</xdr:col>
                    <xdr:colOff>28575</xdr:colOff>
                    <xdr:row>18</xdr:row>
                    <xdr:rowOff>28575</xdr:rowOff>
                  </from>
                  <to>
                    <xdr:col>1</xdr:col>
                    <xdr:colOff>800100</xdr:colOff>
                    <xdr:row>18</xdr:row>
                    <xdr:rowOff>200025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1</xdr:col>
                    <xdr:colOff>28575</xdr:colOff>
                    <xdr:row>17</xdr:row>
                    <xdr:rowOff>28575</xdr:rowOff>
                  </from>
                  <to>
                    <xdr:col>1</xdr:col>
                    <xdr:colOff>800100</xdr:colOff>
                    <xdr:row>17</xdr:row>
                    <xdr:rowOff>200025</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1</xdr:col>
                    <xdr:colOff>28575</xdr:colOff>
                    <xdr:row>16</xdr:row>
                    <xdr:rowOff>38100</xdr:rowOff>
                  </from>
                  <to>
                    <xdr:col>1</xdr:col>
                    <xdr:colOff>800100</xdr:colOff>
                    <xdr:row>16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66"/>
  </sheetPr>
  <dimension ref="B1:M111"/>
  <sheetViews>
    <sheetView zoomScaleNormal="100" workbookViewId="0">
      <pane ySplit="3" topLeftCell="A4" activePane="bottomLeft" state="frozen"/>
      <selection activeCell="W45" sqref="W45:AB52"/>
      <selection pane="bottomLeft" activeCell="B106" sqref="B106:B110"/>
    </sheetView>
  </sheetViews>
  <sheetFormatPr defaultColWidth="9" defaultRowHeight="13.5" x14ac:dyDescent="0.15"/>
  <cols>
    <col min="1" max="1" width="2" style="6" customWidth="1"/>
    <col min="2" max="2" width="10.625" style="6" customWidth="1"/>
    <col min="3" max="8" width="9" style="6"/>
    <col min="9" max="9" width="2.5" style="5" bestFit="1" customWidth="1"/>
    <col min="10" max="10" width="9" style="5"/>
    <col min="11" max="11" width="13.125" style="5" customWidth="1"/>
    <col min="12" max="13" width="9" style="5"/>
    <col min="14" max="16384" width="9" style="6"/>
  </cols>
  <sheetData>
    <row r="1" spans="2:12" ht="21" x14ac:dyDescent="0.15">
      <c r="B1" s="18"/>
      <c r="C1" s="278" t="s">
        <v>64</v>
      </c>
      <c r="D1" s="278"/>
      <c r="E1" s="278"/>
      <c r="F1" s="278"/>
      <c r="G1" s="278"/>
      <c r="H1" s="278"/>
    </row>
    <row r="2" spans="2:12" x14ac:dyDescent="0.15">
      <c r="C2" s="281">
        <f>基本情報!$B$2</f>
        <v>0</v>
      </c>
      <c r="D2" s="281"/>
      <c r="E2" s="279">
        <f>基本情報!$B$3</f>
        <v>0</v>
      </c>
      <c r="F2" s="279"/>
      <c r="G2" s="283" t="str">
        <f>IF(計算シート!$M$78=0,"",計算シート!$M$78&amp;"/74　特記入力済み")</f>
        <v/>
      </c>
      <c r="H2" s="283"/>
    </row>
    <row r="3" spans="2:12" ht="14.25" thickBot="1" x14ac:dyDescent="0.2">
      <c r="B3" s="7"/>
      <c r="C3" s="282"/>
      <c r="D3" s="282"/>
      <c r="E3" s="280"/>
      <c r="F3" s="280"/>
      <c r="G3" s="284"/>
      <c r="H3" s="284"/>
    </row>
    <row r="4" spans="2:12" ht="27" customHeight="1" thickBot="1" x14ac:dyDescent="0.2">
      <c r="B4" s="8" t="s">
        <v>65</v>
      </c>
      <c r="C4" s="265"/>
      <c r="D4" s="266"/>
      <c r="E4" s="266"/>
      <c r="F4" s="266"/>
      <c r="G4" s="266"/>
      <c r="H4" s="267"/>
      <c r="I4" s="76" t="str">
        <f>IF(C4="","",LEN(C4)&amp;"/120　文字")</f>
        <v/>
      </c>
      <c r="L4" s="172" t="s">
        <v>429</v>
      </c>
    </row>
    <row r="5" spans="2:12" ht="27" customHeight="1" thickBot="1" x14ac:dyDescent="0.2">
      <c r="B5" s="10" t="s">
        <v>77</v>
      </c>
      <c r="C5" s="268"/>
      <c r="D5" s="269"/>
      <c r="E5" s="269"/>
      <c r="F5" s="269"/>
      <c r="G5" s="269"/>
      <c r="H5" s="270"/>
      <c r="I5" s="179" t="str">
        <f>IF(AND(B7&gt;=2,C4=""),"特記事項は記入していますか？","")</f>
        <v/>
      </c>
      <c r="L5" s="173" t="s">
        <v>435</v>
      </c>
    </row>
    <row r="6" spans="2:12" ht="27" customHeight="1" thickBot="1" x14ac:dyDescent="0.2">
      <c r="B6" s="26" t="str">
        <f>IF(B7="","",VLOOKUP(B7,I8:J11,2,FALSE))</f>
        <v/>
      </c>
      <c r="C6" s="268"/>
      <c r="D6" s="269"/>
      <c r="E6" s="269"/>
      <c r="F6" s="269"/>
      <c r="G6" s="269"/>
      <c r="H6" s="270"/>
      <c r="J6" s="12"/>
    </row>
    <row r="7" spans="2:12" ht="23.1" customHeight="1" thickBot="1" x14ac:dyDescent="0.2">
      <c r="B7" s="275"/>
      <c r="C7" s="268"/>
      <c r="D7" s="269"/>
      <c r="E7" s="269"/>
      <c r="F7" s="269"/>
      <c r="G7" s="269"/>
      <c r="H7" s="270"/>
      <c r="I7" s="285"/>
      <c r="J7" s="285"/>
    </row>
    <row r="8" spans="2:12" ht="23.1" customHeight="1" thickBot="1" x14ac:dyDescent="0.2">
      <c r="B8" s="276"/>
      <c r="C8" s="268"/>
      <c r="D8" s="269"/>
      <c r="E8" s="269"/>
      <c r="F8" s="269"/>
      <c r="G8" s="269"/>
      <c r="H8" s="270"/>
      <c r="I8" s="9">
        <v>1</v>
      </c>
      <c r="J8" s="9" t="s">
        <v>90</v>
      </c>
    </row>
    <row r="9" spans="2:12" ht="23.1" customHeight="1" thickBot="1" x14ac:dyDescent="0.2">
      <c r="B9" s="276"/>
      <c r="C9" s="268"/>
      <c r="D9" s="269"/>
      <c r="E9" s="269"/>
      <c r="F9" s="269"/>
      <c r="G9" s="269"/>
      <c r="H9" s="270"/>
      <c r="I9" s="9">
        <v>2</v>
      </c>
      <c r="J9" s="9" t="s">
        <v>89</v>
      </c>
    </row>
    <row r="10" spans="2:12" ht="23.1" customHeight="1" thickBot="1" x14ac:dyDescent="0.2">
      <c r="B10" s="276"/>
      <c r="C10" s="268"/>
      <c r="D10" s="269"/>
      <c r="E10" s="269"/>
      <c r="F10" s="269"/>
      <c r="G10" s="269"/>
      <c r="H10" s="270"/>
      <c r="I10" s="9">
        <v>3</v>
      </c>
      <c r="J10" s="9" t="s">
        <v>53</v>
      </c>
    </row>
    <row r="11" spans="2:12" ht="23.1" customHeight="1" thickBot="1" x14ac:dyDescent="0.2">
      <c r="B11" s="277"/>
      <c r="C11" s="271"/>
      <c r="D11" s="272"/>
      <c r="E11" s="272"/>
      <c r="F11" s="272"/>
      <c r="G11" s="272"/>
      <c r="H11" s="273"/>
      <c r="I11" s="9">
        <v>4</v>
      </c>
      <c r="J11" s="9" t="s">
        <v>54</v>
      </c>
    </row>
    <row r="12" spans="2:12" ht="20.100000000000001" customHeight="1" thickBot="1" x14ac:dyDescent="0.2">
      <c r="I12" s="12"/>
      <c r="J12" s="12"/>
    </row>
    <row r="13" spans="2:12" ht="27" customHeight="1" thickBot="1" x14ac:dyDescent="0.2">
      <c r="B13" s="8" t="s">
        <v>66</v>
      </c>
      <c r="C13" s="265"/>
      <c r="D13" s="266"/>
      <c r="E13" s="266"/>
      <c r="F13" s="266"/>
      <c r="G13" s="266"/>
      <c r="H13" s="267"/>
      <c r="I13" s="76" t="str">
        <f>IF(C13="","",LEN(C13)&amp;"/120　文字")</f>
        <v/>
      </c>
      <c r="J13" s="12"/>
    </row>
    <row r="14" spans="2:12" ht="27" customHeight="1" thickBot="1" x14ac:dyDescent="0.2">
      <c r="B14" s="10" t="s">
        <v>78</v>
      </c>
      <c r="C14" s="268"/>
      <c r="D14" s="269"/>
      <c r="E14" s="269"/>
      <c r="F14" s="269"/>
      <c r="G14" s="269"/>
      <c r="H14" s="270"/>
      <c r="J14" s="12"/>
    </row>
    <row r="15" spans="2:12" ht="27" customHeight="1" thickBot="1" x14ac:dyDescent="0.2">
      <c r="B15" s="26" t="str">
        <f>IF(B16="","",VLOOKUP(B16,I17:J20,2,FALSE))</f>
        <v/>
      </c>
      <c r="C15" s="268"/>
      <c r="D15" s="269"/>
      <c r="E15" s="269"/>
      <c r="F15" s="269"/>
      <c r="G15" s="269"/>
      <c r="H15" s="270"/>
      <c r="I15" s="179" t="str">
        <f>IF(AND(B16&gt;=2,C13=""),"特記事項は記入していますか？","")</f>
        <v/>
      </c>
      <c r="J15" s="12"/>
    </row>
    <row r="16" spans="2:12" ht="23.1" customHeight="1" thickBot="1" x14ac:dyDescent="0.2">
      <c r="B16" s="275"/>
      <c r="C16" s="268"/>
      <c r="D16" s="269"/>
      <c r="E16" s="269"/>
      <c r="F16" s="269"/>
      <c r="G16" s="269"/>
      <c r="H16" s="270"/>
      <c r="I16" s="11"/>
      <c r="J16" s="12"/>
    </row>
    <row r="17" spans="2:12" ht="23.1" customHeight="1" thickBot="1" x14ac:dyDescent="0.2">
      <c r="B17" s="276"/>
      <c r="C17" s="268"/>
      <c r="D17" s="269"/>
      <c r="E17" s="269"/>
      <c r="F17" s="269"/>
      <c r="G17" s="269"/>
      <c r="H17" s="270"/>
      <c r="I17" s="9">
        <v>1</v>
      </c>
      <c r="J17" s="9" t="s">
        <v>90</v>
      </c>
    </row>
    <row r="18" spans="2:12" ht="23.1" customHeight="1" thickBot="1" x14ac:dyDescent="0.2">
      <c r="B18" s="276"/>
      <c r="C18" s="268"/>
      <c r="D18" s="269"/>
      <c r="E18" s="269"/>
      <c r="F18" s="269"/>
      <c r="G18" s="269"/>
      <c r="H18" s="270"/>
      <c r="I18" s="9">
        <v>2</v>
      </c>
      <c r="J18" s="9" t="s">
        <v>89</v>
      </c>
    </row>
    <row r="19" spans="2:12" ht="23.1" customHeight="1" thickBot="1" x14ac:dyDescent="0.2">
      <c r="B19" s="276"/>
      <c r="C19" s="268"/>
      <c r="D19" s="269"/>
      <c r="E19" s="269"/>
      <c r="F19" s="269"/>
      <c r="G19" s="269"/>
      <c r="H19" s="270"/>
      <c r="I19" s="9">
        <v>3</v>
      </c>
      <c r="J19" s="9" t="s">
        <v>53</v>
      </c>
    </row>
    <row r="20" spans="2:12" ht="23.1" customHeight="1" thickBot="1" x14ac:dyDescent="0.2">
      <c r="B20" s="277"/>
      <c r="C20" s="271"/>
      <c r="D20" s="272"/>
      <c r="E20" s="272"/>
      <c r="F20" s="272"/>
      <c r="G20" s="272"/>
      <c r="H20" s="273"/>
      <c r="I20" s="9">
        <v>4</v>
      </c>
      <c r="J20" s="9" t="s">
        <v>54</v>
      </c>
    </row>
    <row r="21" spans="2:12" ht="20.100000000000001" customHeight="1" thickBot="1" x14ac:dyDescent="0.2"/>
    <row r="22" spans="2:12" ht="27" customHeight="1" thickBot="1" x14ac:dyDescent="0.2">
      <c r="B22" s="8" t="s">
        <v>67</v>
      </c>
      <c r="C22" s="265"/>
      <c r="D22" s="266"/>
      <c r="E22" s="266"/>
      <c r="F22" s="266"/>
      <c r="G22" s="266"/>
      <c r="H22" s="267"/>
      <c r="I22" s="76" t="str">
        <f>IF(C22="","",LEN(C22)&amp;"/120　文字")</f>
        <v/>
      </c>
    </row>
    <row r="23" spans="2:12" ht="27" customHeight="1" thickBot="1" x14ac:dyDescent="0.2">
      <c r="B23" s="10" t="s">
        <v>79</v>
      </c>
      <c r="C23" s="268"/>
      <c r="D23" s="269"/>
      <c r="E23" s="269"/>
      <c r="F23" s="269"/>
      <c r="G23" s="269"/>
      <c r="H23" s="270"/>
      <c r="I23" s="9"/>
    </row>
    <row r="24" spans="2:12" ht="27" customHeight="1" thickBot="1" x14ac:dyDescent="0.2">
      <c r="B24" s="26" t="str">
        <f>IF(B25="","",VLOOKUP(B25,I27:J29,2,FALSE))</f>
        <v/>
      </c>
      <c r="C24" s="268"/>
      <c r="D24" s="269"/>
      <c r="E24" s="269"/>
      <c r="F24" s="269"/>
      <c r="G24" s="269"/>
      <c r="H24" s="270"/>
      <c r="I24" s="123" t="str">
        <f>IF(AND(B25&gt;=2,C22=""),"特記事項は記入していますか？","")</f>
        <v/>
      </c>
    </row>
    <row r="25" spans="2:12" ht="23.1" customHeight="1" thickBot="1" x14ac:dyDescent="0.2">
      <c r="B25" s="275"/>
      <c r="C25" s="268"/>
      <c r="D25" s="269"/>
      <c r="E25" s="269"/>
      <c r="F25" s="269"/>
      <c r="G25" s="269"/>
      <c r="H25" s="270"/>
    </row>
    <row r="26" spans="2:12" ht="23.1" customHeight="1" thickBot="1" x14ac:dyDescent="0.2">
      <c r="B26" s="276"/>
      <c r="C26" s="268"/>
      <c r="D26" s="269"/>
      <c r="E26" s="269"/>
      <c r="F26" s="269"/>
      <c r="G26" s="269"/>
      <c r="H26" s="270"/>
    </row>
    <row r="27" spans="2:12" ht="23.1" customHeight="1" thickBot="1" x14ac:dyDescent="0.2">
      <c r="B27" s="276"/>
      <c r="C27" s="268"/>
      <c r="D27" s="269"/>
      <c r="E27" s="269"/>
      <c r="F27" s="269"/>
      <c r="G27" s="269"/>
      <c r="H27" s="270"/>
      <c r="I27" s="9">
        <v>1</v>
      </c>
      <c r="J27" s="9" t="s">
        <v>49</v>
      </c>
    </row>
    <row r="28" spans="2:12" ht="23.1" customHeight="1" thickBot="1" x14ac:dyDescent="0.2">
      <c r="B28" s="276"/>
      <c r="C28" s="268"/>
      <c r="D28" s="269"/>
      <c r="E28" s="269"/>
      <c r="F28" s="269"/>
      <c r="G28" s="269"/>
      <c r="H28" s="270"/>
      <c r="I28" s="9">
        <v>2</v>
      </c>
      <c r="J28" s="9" t="s">
        <v>89</v>
      </c>
    </row>
    <row r="29" spans="2:12" ht="23.1" customHeight="1" thickBot="1" x14ac:dyDescent="0.2">
      <c r="B29" s="277"/>
      <c r="C29" s="271"/>
      <c r="D29" s="272"/>
      <c r="E29" s="272"/>
      <c r="F29" s="272"/>
      <c r="G29" s="272"/>
      <c r="H29" s="273"/>
      <c r="I29" s="9">
        <v>3</v>
      </c>
      <c r="J29" s="9" t="s">
        <v>51</v>
      </c>
    </row>
    <row r="30" spans="2:12" ht="20.100000000000001" customHeight="1" thickBot="1" x14ac:dyDescent="0.2"/>
    <row r="31" spans="2:12" ht="27" customHeight="1" thickBot="1" x14ac:dyDescent="0.2">
      <c r="B31" s="8" t="s">
        <v>68</v>
      </c>
      <c r="C31" s="265"/>
      <c r="D31" s="266"/>
      <c r="E31" s="266"/>
      <c r="F31" s="266"/>
      <c r="G31" s="266"/>
      <c r="H31" s="267"/>
      <c r="I31" s="76" t="str">
        <f>IF(C31="","",LEN(C31)&amp;"/120　文字")</f>
        <v/>
      </c>
      <c r="L31" s="172" t="s">
        <v>429</v>
      </c>
    </row>
    <row r="32" spans="2:12" ht="27" customHeight="1" thickBot="1" x14ac:dyDescent="0.2">
      <c r="B32" s="10" t="s">
        <v>80</v>
      </c>
      <c r="C32" s="268"/>
      <c r="D32" s="269"/>
      <c r="E32" s="269"/>
      <c r="F32" s="269"/>
      <c r="G32" s="269"/>
      <c r="H32" s="270"/>
      <c r="I32" s="179" t="str">
        <f>IF(AND(B34&gt;=2,C31=""),"特記事項は記入していますか？","")</f>
        <v/>
      </c>
      <c r="L32" s="173" t="s">
        <v>430</v>
      </c>
    </row>
    <row r="33" spans="2:12" ht="27" customHeight="1" thickBot="1" x14ac:dyDescent="0.2">
      <c r="B33" s="26" t="str">
        <f>IF(B34="","",VLOOKUP(B34,I35:J38,2,FALSE))</f>
        <v/>
      </c>
      <c r="C33" s="268"/>
      <c r="D33" s="269"/>
      <c r="E33" s="269"/>
      <c r="F33" s="269"/>
      <c r="G33" s="269"/>
      <c r="H33" s="270"/>
      <c r="I33" s="9"/>
    </row>
    <row r="34" spans="2:12" ht="23.1" customHeight="1" thickBot="1" x14ac:dyDescent="0.2">
      <c r="B34" s="275"/>
      <c r="C34" s="268"/>
      <c r="D34" s="269"/>
      <c r="E34" s="269"/>
      <c r="F34" s="269"/>
      <c r="G34" s="269"/>
      <c r="H34" s="270"/>
      <c r="I34" s="9"/>
    </row>
    <row r="35" spans="2:12" ht="23.1" customHeight="1" thickBot="1" x14ac:dyDescent="0.2">
      <c r="B35" s="276"/>
      <c r="C35" s="268"/>
      <c r="D35" s="269"/>
      <c r="E35" s="269"/>
      <c r="F35" s="269"/>
      <c r="G35" s="269"/>
      <c r="H35" s="270"/>
      <c r="I35" s="9">
        <v>1</v>
      </c>
      <c r="J35" s="9" t="s">
        <v>90</v>
      </c>
    </row>
    <row r="36" spans="2:12" ht="23.1" customHeight="1" thickBot="1" x14ac:dyDescent="0.2">
      <c r="B36" s="276"/>
      <c r="C36" s="268"/>
      <c r="D36" s="269"/>
      <c r="E36" s="269"/>
      <c r="F36" s="269"/>
      <c r="G36" s="269"/>
      <c r="H36" s="270"/>
      <c r="I36" s="9">
        <v>2</v>
      </c>
      <c r="J36" s="9" t="s">
        <v>89</v>
      </c>
    </row>
    <row r="37" spans="2:12" ht="23.1" customHeight="1" thickBot="1" x14ac:dyDescent="0.2">
      <c r="B37" s="276"/>
      <c r="C37" s="268"/>
      <c r="D37" s="269"/>
      <c r="E37" s="269"/>
      <c r="F37" s="269"/>
      <c r="G37" s="269"/>
      <c r="H37" s="270"/>
      <c r="I37" s="9">
        <v>3</v>
      </c>
      <c r="J37" s="9" t="s">
        <v>53</v>
      </c>
    </row>
    <row r="38" spans="2:12" ht="23.1" customHeight="1" thickBot="1" x14ac:dyDescent="0.2">
      <c r="B38" s="277"/>
      <c r="C38" s="271"/>
      <c r="D38" s="272"/>
      <c r="E38" s="272"/>
      <c r="F38" s="272"/>
      <c r="G38" s="272"/>
      <c r="H38" s="273"/>
      <c r="I38" s="9">
        <v>4</v>
      </c>
      <c r="J38" s="9" t="s">
        <v>54</v>
      </c>
    </row>
    <row r="39" spans="2:12" ht="20.100000000000001" customHeight="1" thickBot="1" x14ac:dyDescent="0.2"/>
    <row r="40" spans="2:12" ht="27" customHeight="1" thickBot="1" x14ac:dyDescent="0.2">
      <c r="B40" s="8" t="s">
        <v>69</v>
      </c>
      <c r="C40" s="265"/>
      <c r="D40" s="266"/>
      <c r="E40" s="266"/>
      <c r="F40" s="266"/>
      <c r="G40" s="266"/>
      <c r="H40" s="267"/>
      <c r="I40" s="76" t="str">
        <f>IF(C40="","",LEN(C40)&amp;"/120　文字")</f>
        <v/>
      </c>
      <c r="L40" s="172" t="s">
        <v>429</v>
      </c>
    </row>
    <row r="41" spans="2:12" ht="27" customHeight="1" thickBot="1" x14ac:dyDescent="0.2">
      <c r="B41" s="10" t="s">
        <v>81</v>
      </c>
      <c r="C41" s="268"/>
      <c r="D41" s="269"/>
      <c r="E41" s="269"/>
      <c r="F41" s="269"/>
      <c r="G41" s="269"/>
      <c r="H41" s="270"/>
      <c r="I41" s="181" t="str">
        <f>IF(AND(B43&gt;=2,C40=""),"特記事項は記入していますか？","")</f>
        <v/>
      </c>
      <c r="L41" s="173" t="s">
        <v>436</v>
      </c>
    </row>
    <row r="42" spans="2:12" ht="27" customHeight="1" thickBot="1" x14ac:dyDescent="0.2">
      <c r="B42" s="26" t="str">
        <f>IF(B43="","",VLOOKUP(B43,I44:J47,2,FALSE))</f>
        <v/>
      </c>
      <c r="C42" s="268"/>
      <c r="D42" s="269"/>
      <c r="E42" s="269"/>
      <c r="F42" s="269"/>
      <c r="G42" s="269"/>
      <c r="H42" s="270"/>
      <c r="I42" s="9"/>
    </row>
    <row r="43" spans="2:12" ht="23.1" customHeight="1" thickBot="1" x14ac:dyDescent="0.2">
      <c r="B43" s="275"/>
      <c r="C43" s="268"/>
      <c r="D43" s="269"/>
      <c r="E43" s="269"/>
      <c r="F43" s="269"/>
      <c r="G43" s="269"/>
      <c r="H43" s="270"/>
      <c r="I43" s="9"/>
    </row>
    <row r="44" spans="2:12" ht="23.1" customHeight="1" thickBot="1" x14ac:dyDescent="0.2">
      <c r="B44" s="276"/>
      <c r="C44" s="268"/>
      <c r="D44" s="269"/>
      <c r="E44" s="269"/>
      <c r="F44" s="269"/>
      <c r="G44" s="269"/>
      <c r="H44" s="270"/>
      <c r="I44" s="9">
        <v>1</v>
      </c>
      <c r="J44" s="9" t="s">
        <v>90</v>
      </c>
    </row>
    <row r="45" spans="2:12" ht="23.1" customHeight="1" thickBot="1" x14ac:dyDescent="0.2">
      <c r="B45" s="276"/>
      <c r="C45" s="268"/>
      <c r="D45" s="269"/>
      <c r="E45" s="269"/>
      <c r="F45" s="269"/>
      <c r="G45" s="269"/>
      <c r="H45" s="270"/>
      <c r="I45" s="9">
        <v>2</v>
      </c>
      <c r="J45" s="9" t="s">
        <v>89</v>
      </c>
    </row>
    <row r="46" spans="2:12" ht="23.1" customHeight="1" thickBot="1" x14ac:dyDescent="0.2">
      <c r="B46" s="276"/>
      <c r="C46" s="268"/>
      <c r="D46" s="269"/>
      <c r="E46" s="269"/>
      <c r="F46" s="269"/>
      <c r="G46" s="269"/>
      <c r="H46" s="270"/>
      <c r="I46" s="9">
        <v>3</v>
      </c>
      <c r="J46" s="9" t="s">
        <v>53</v>
      </c>
    </row>
    <row r="47" spans="2:12" ht="23.1" customHeight="1" thickBot="1" x14ac:dyDescent="0.2">
      <c r="B47" s="277"/>
      <c r="C47" s="271"/>
      <c r="D47" s="272"/>
      <c r="E47" s="272"/>
      <c r="F47" s="272"/>
      <c r="G47" s="272"/>
      <c r="H47" s="273"/>
      <c r="I47" s="9">
        <v>4</v>
      </c>
      <c r="J47" s="9" t="s">
        <v>54</v>
      </c>
    </row>
    <row r="48" spans="2:12" ht="20.100000000000001" customHeight="1" thickBot="1" x14ac:dyDescent="0.2"/>
    <row r="49" spans="2:10" ht="27" customHeight="1" thickBot="1" x14ac:dyDescent="0.2">
      <c r="B49" s="8" t="s">
        <v>70</v>
      </c>
      <c r="C49" s="265"/>
      <c r="D49" s="266"/>
      <c r="E49" s="266"/>
      <c r="F49" s="266"/>
      <c r="G49" s="266"/>
      <c r="H49" s="267"/>
      <c r="I49" s="76" t="str">
        <f>IF(C49="","",LEN(C49)&amp;"/120　文字")</f>
        <v/>
      </c>
    </row>
    <row r="50" spans="2:10" ht="27" customHeight="1" thickBot="1" x14ac:dyDescent="0.2">
      <c r="B50" s="17" t="s">
        <v>82</v>
      </c>
      <c r="C50" s="268"/>
      <c r="D50" s="269"/>
      <c r="E50" s="269"/>
      <c r="F50" s="269"/>
      <c r="G50" s="269"/>
      <c r="H50" s="270"/>
      <c r="I50" s="179" t="str">
        <f>IF(AND(B52&gt;=2,C49=""),"特記事項は記入していますか？","")</f>
        <v/>
      </c>
    </row>
    <row r="51" spans="2:10" ht="27" customHeight="1" thickBot="1" x14ac:dyDescent="0.2">
      <c r="B51" s="26" t="str">
        <f>IF(B52="","",VLOOKUP(B52,I53:J56,2,FALSE))</f>
        <v/>
      </c>
      <c r="C51" s="268"/>
      <c r="D51" s="269"/>
      <c r="E51" s="269"/>
      <c r="F51" s="269"/>
      <c r="G51" s="269"/>
      <c r="H51" s="270"/>
      <c r="I51" s="9"/>
    </row>
    <row r="52" spans="2:10" ht="23.1" customHeight="1" thickBot="1" x14ac:dyDescent="0.2">
      <c r="B52" s="275"/>
      <c r="C52" s="268"/>
      <c r="D52" s="269"/>
      <c r="E52" s="269"/>
      <c r="F52" s="269"/>
      <c r="G52" s="269"/>
      <c r="H52" s="270"/>
      <c r="I52" s="9"/>
    </row>
    <row r="53" spans="2:10" ht="23.1" customHeight="1" thickBot="1" x14ac:dyDescent="0.2">
      <c r="B53" s="276"/>
      <c r="C53" s="268"/>
      <c r="D53" s="269"/>
      <c r="E53" s="269"/>
      <c r="F53" s="269"/>
      <c r="G53" s="269"/>
      <c r="H53" s="270"/>
      <c r="I53" s="9">
        <v>1</v>
      </c>
      <c r="J53" s="9" t="s">
        <v>90</v>
      </c>
    </row>
    <row r="54" spans="2:10" ht="23.1" customHeight="1" thickBot="1" x14ac:dyDescent="0.2">
      <c r="B54" s="276"/>
      <c r="C54" s="268"/>
      <c r="D54" s="269"/>
      <c r="E54" s="269"/>
      <c r="F54" s="269"/>
      <c r="G54" s="269"/>
      <c r="H54" s="270"/>
      <c r="I54" s="9">
        <v>2</v>
      </c>
      <c r="J54" s="9" t="s">
        <v>89</v>
      </c>
    </row>
    <row r="55" spans="2:10" ht="23.1" customHeight="1" thickBot="1" x14ac:dyDescent="0.2">
      <c r="B55" s="276"/>
      <c r="C55" s="268"/>
      <c r="D55" s="269"/>
      <c r="E55" s="269"/>
      <c r="F55" s="269"/>
      <c r="G55" s="269"/>
      <c r="H55" s="270"/>
      <c r="I55" s="9">
        <v>3</v>
      </c>
      <c r="J55" s="9" t="s">
        <v>53</v>
      </c>
    </row>
    <row r="56" spans="2:10" ht="23.1" customHeight="1" thickBot="1" x14ac:dyDescent="0.2">
      <c r="B56" s="277"/>
      <c r="C56" s="271"/>
      <c r="D56" s="272"/>
      <c r="E56" s="272"/>
      <c r="F56" s="272"/>
      <c r="G56" s="272"/>
      <c r="H56" s="273"/>
      <c r="I56" s="9">
        <v>4</v>
      </c>
      <c r="J56" s="9" t="s">
        <v>54</v>
      </c>
    </row>
    <row r="57" spans="2:10" ht="20.100000000000001" customHeight="1" thickBot="1" x14ac:dyDescent="0.2"/>
    <row r="58" spans="2:10" ht="27" customHeight="1" thickBot="1" x14ac:dyDescent="0.2">
      <c r="B58" s="8" t="s">
        <v>71</v>
      </c>
      <c r="C58" s="265"/>
      <c r="D58" s="266"/>
      <c r="E58" s="266"/>
      <c r="F58" s="266"/>
      <c r="G58" s="266"/>
      <c r="H58" s="267"/>
      <c r="I58" s="76" t="str">
        <f>IF(C58="","",LEN(C58)&amp;"/120　文字")</f>
        <v/>
      </c>
    </row>
    <row r="59" spans="2:10" ht="27" customHeight="1" thickBot="1" x14ac:dyDescent="0.2">
      <c r="B59" s="10" t="s">
        <v>83</v>
      </c>
      <c r="C59" s="268"/>
      <c r="D59" s="269"/>
      <c r="E59" s="269"/>
      <c r="F59" s="269"/>
      <c r="G59" s="269"/>
      <c r="H59" s="270"/>
    </row>
    <row r="60" spans="2:10" ht="27" customHeight="1" thickBot="1" x14ac:dyDescent="0.2">
      <c r="B60" s="26" t="str">
        <f>IF(B61="","",VLOOKUP(B61,I63:J65,2,FALSE))</f>
        <v/>
      </c>
      <c r="C60" s="268"/>
      <c r="D60" s="269"/>
      <c r="E60" s="269"/>
      <c r="F60" s="269"/>
      <c r="G60" s="269"/>
      <c r="H60" s="270"/>
      <c r="I60" s="179" t="str">
        <f>IF(AND(B61&gt;=2,C58=""),"特記事項は記入していますか？","")</f>
        <v/>
      </c>
    </row>
    <row r="61" spans="2:10" ht="23.1" customHeight="1" thickBot="1" x14ac:dyDescent="0.2">
      <c r="B61" s="275"/>
      <c r="C61" s="268"/>
      <c r="D61" s="269"/>
      <c r="E61" s="269"/>
      <c r="F61" s="269"/>
      <c r="G61" s="269"/>
      <c r="H61" s="270"/>
      <c r="I61" s="9"/>
    </row>
    <row r="62" spans="2:10" ht="23.1" customHeight="1" thickBot="1" x14ac:dyDescent="0.2">
      <c r="B62" s="276"/>
      <c r="C62" s="268"/>
      <c r="D62" s="269"/>
      <c r="E62" s="269"/>
      <c r="F62" s="269"/>
      <c r="G62" s="269"/>
      <c r="H62" s="270"/>
      <c r="I62" s="9"/>
    </row>
    <row r="63" spans="2:10" ht="23.1" customHeight="1" thickBot="1" x14ac:dyDescent="0.2">
      <c r="B63" s="276"/>
      <c r="C63" s="268"/>
      <c r="D63" s="269"/>
      <c r="E63" s="269"/>
      <c r="F63" s="269"/>
      <c r="G63" s="269"/>
      <c r="H63" s="270"/>
      <c r="I63" s="9">
        <v>1</v>
      </c>
      <c r="J63" s="9" t="s">
        <v>90</v>
      </c>
    </row>
    <row r="64" spans="2:10" ht="23.1" customHeight="1" thickBot="1" x14ac:dyDescent="0.2">
      <c r="B64" s="276"/>
      <c r="C64" s="268"/>
      <c r="D64" s="269"/>
      <c r="E64" s="269"/>
      <c r="F64" s="269"/>
      <c r="G64" s="269"/>
      <c r="H64" s="270"/>
      <c r="I64" s="9">
        <v>2</v>
      </c>
      <c r="J64" s="9" t="s">
        <v>53</v>
      </c>
    </row>
    <row r="65" spans="2:10" ht="23.1" customHeight="1" thickBot="1" x14ac:dyDescent="0.2">
      <c r="B65" s="277"/>
      <c r="C65" s="271"/>
      <c r="D65" s="272"/>
      <c r="E65" s="272"/>
      <c r="F65" s="272"/>
      <c r="G65" s="272"/>
      <c r="H65" s="273"/>
      <c r="I65" s="9">
        <v>3</v>
      </c>
      <c r="J65" s="9" t="s">
        <v>54</v>
      </c>
    </row>
    <row r="66" spans="2:10" ht="20.100000000000001" customHeight="1" thickBot="1" x14ac:dyDescent="0.2">
      <c r="J66" s="6"/>
    </row>
    <row r="67" spans="2:10" ht="27" customHeight="1" thickBot="1" x14ac:dyDescent="0.2">
      <c r="B67" s="8" t="s">
        <v>72</v>
      </c>
      <c r="C67" s="265"/>
      <c r="D67" s="266"/>
      <c r="E67" s="266"/>
      <c r="F67" s="266"/>
      <c r="G67" s="266"/>
      <c r="H67" s="267"/>
      <c r="I67" s="76" t="str">
        <f>IF(C67="","",LEN(C67)&amp;"/120　文字")</f>
        <v/>
      </c>
    </row>
    <row r="68" spans="2:10" ht="27" customHeight="1" thickBot="1" x14ac:dyDescent="0.2">
      <c r="B68" s="10" t="s">
        <v>84</v>
      </c>
      <c r="C68" s="268"/>
      <c r="D68" s="269"/>
      <c r="E68" s="269"/>
      <c r="F68" s="269"/>
      <c r="G68" s="269"/>
      <c r="H68" s="270"/>
      <c r="I68" s="9"/>
    </row>
    <row r="69" spans="2:10" ht="27" customHeight="1" thickBot="1" x14ac:dyDescent="0.2">
      <c r="B69" s="26" t="str">
        <f>IF(B70="","",VLOOKUP(B70,I72:J74,2,FALSE))</f>
        <v/>
      </c>
      <c r="C69" s="268"/>
      <c r="D69" s="269"/>
      <c r="E69" s="269"/>
      <c r="F69" s="269"/>
      <c r="G69" s="269"/>
      <c r="H69" s="270"/>
      <c r="I69" s="179" t="str">
        <f>IF(AND(B70&gt;=2,C67=""),"特記事項は記入していますか？","")</f>
        <v/>
      </c>
    </row>
    <row r="70" spans="2:10" ht="23.1" customHeight="1" thickBot="1" x14ac:dyDescent="0.2">
      <c r="B70" s="275"/>
      <c r="C70" s="268"/>
      <c r="D70" s="269"/>
      <c r="E70" s="269"/>
      <c r="F70" s="269"/>
      <c r="G70" s="269"/>
      <c r="H70" s="270"/>
      <c r="I70" s="9"/>
    </row>
    <row r="71" spans="2:10" ht="23.1" customHeight="1" thickBot="1" x14ac:dyDescent="0.2">
      <c r="B71" s="276"/>
      <c r="C71" s="268"/>
      <c r="D71" s="269"/>
      <c r="E71" s="269"/>
      <c r="F71" s="269"/>
      <c r="G71" s="269"/>
      <c r="H71" s="270"/>
      <c r="I71" s="9"/>
    </row>
    <row r="72" spans="2:10" ht="23.1" customHeight="1" thickBot="1" x14ac:dyDescent="0.2">
      <c r="B72" s="276"/>
      <c r="C72" s="268"/>
      <c r="D72" s="269"/>
      <c r="E72" s="269"/>
      <c r="F72" s="269"/>
      <c r="G72" s="269"/>
      <c r="H72" s="270"/>
      <c r="I72" s="9">
        <v>1</v>
      </c>
      <c r="J72" s="9" t="s">
        <v>90</v>
      </c>
    </row>
    <row r="73" spans="2:10" ht="23.1" customHeight="1" thickBot="1" x14ac:dyDescent="0.2">
      <c r="B73" s="276"/>
      <c r="C73" s="268"/>
      <c r="D73" s="269"/>
      <c r="E73" s="269"/>
      <c r="F73" s="269"/>
      <c r="G73" s="269"/>
      <c r="H73" s="270"/>
      <c r="I73" s="9">
        <v>2</v>
      </c>
      <c r="J73" s="9" t="s">
        <v>53</v>
      </c>
    </row>
    <row r="74" spans="2:10" ht="23.1" customHeight="1" thickBot="1" x14ac:dyDescent="0.2">
      <c r="B74" s="277"/>
      <c r="C74" s="271"/>
      <c r="D74" s="272"/>
      <c r="E74" s="272"/>
      <c r="F74" s="272"/>
      <c r="G74" s="272"/>
      <c r="H74" s="273"/>
      <c r="I74" s="9">
        <v>3</v>
      </c>
      <c r="J74" s="9" t="s">
        <v>54</v>
      </c>
    </row>
    <row r="75" spans="2:10" ht="20.100000000000001" customHeight="1" thickBot="1" x14ac:dyDescent="0.2"/>
    <row r="76" spans="2:10" ht="27" customHeight="1" thickBot="1" x14ac:dyDescent="0.2">
      <c r="B76" s="8" t="s">
        <v>73</v>
      </c>
      <c r="C76" s="265"/>
      <c r="D76" s="266"/>
      <c r="E76" s="266"/>
      <c r="F76" s="266"/>
      <c r="G76" s="266"/>
      <c r="H76" s="267"/>
      <c r="I76" s="76" t="str">
        <f>IF(C76="","",LEN(C76)&amp;"/120　文字")</f>
        <v/>
      </c>
    </row>
    <row r="77" spans="2:10" ht="27" customHeight="1" thickBot="1" x14ac:dyDescent="0.2">
      <c r="B77" s="17" t="s">
        <v>85</v>
      </c>
      <c r="C77" s="268"/>
      <c r="D77" s="269"/>
      <c r="E77" s="269"/>
      <c r="F77" s="269"/>
      <c r="G77" s="269"/>
      <c r="H77" s="270"/>
      <c r="I77" s="9"/>
    </row>
    <row r="78" spans="2:10" ht="27" customHeight="1" thickBot="1" x14ac:dyDescent="0.2">
      <c r="B78" s="26" t="str">
        <f>IF(B79="","",VLOOKUP(B79,I81:J83,2,FALSE))</f>
        <v/>
      </c>
      <c r="C78" s="268"/>
      <c r="D78" s="269"/>
      <c r="E78" s="269"/>
      <c r="F78" s="269"/>
      <c r="G78" s="269"/>
      <c r="H78" s="270"/>
      <c r="I78" s="179" t="str">
        <f>IF(AND(B79&gt;=2,C76=""),"特記事項は記入していますか？","")</f>
        <v/>
      </c>
    </row>
    <row r="79" spans="2:10" ht="23.1" customHeight="1" thickBot="1" x14ac:dyDescent="0.2">
      <c r="B79" s="275"/>
      <c r="C79" s="268"/>
      <c r="D79" s="269"/>
      <c r="E79" s="269"/>
      <c r="F79" s="269"/>
      <c r="G79" s="269"/>
      <c r="H79" s="270"/>
      <c r="I79" s="9"/>
    </row>
    <row r="80" spans="2:10" ht="23.1" customHeight="1" thickBot="1" x14ac:dyDescent="0.2">
      <c r="B80" s="276"/>
      <c r="C80" s="268"/>
      <c r="D80" s="269"/>
      <c r="E80" s="269"/>
      <c r="F80" s="269"/>
      <c r="G80" s="269"/>
      <c r="H80" s="270"/>
      <c r="I80" s="9"/>
    </row>
    <row r="81" spans="2:10" ht="23.1" customHeight="1" thickBot="1" x14ac:dyDescent="0.2">
      <c r="B81" s="276"/>
      <c r="C81" s="268"/>
      <c r="D81" s="269"/>
      <c r="E81" s="269"/>
      <c r="F81" s="269"/>
      <c r="G81" s="269"/>
      <c r="H81" s="270"/>
      <c r="I81" s="9">
        <v>1</v>
      </c>
      <c r="J81" s="9" t="s">
        <v>90</v>
      </c>
    </row>
    <row r="82" spans="2:10" ht="23.1" customHeight="1" thickBot="1" x14ac:dyDescent="0.2">
      <c r="B82" s="276"/>
      <c r="C82" s="268"/>
      <c r="D82" s="269"/>
      <c r="E82" s="269"/>
      <c r="F82" s="269"/>
      <c r="G82" s="269"/>
      <c r="H82" s="270"/>
      <c r="I82" s="9">
        <v>2</v>
      </c>
      <c r="J82" s="9" t="s">
        <v>53</v>
      </c>
    </row>
    <row r="83" spans="2:10" ht="23.1" customHeight="1" thickBot="1" x14ac:dyDescent="0.2">
      <c r="B83" s="277"/>
      <c r="C83" s="271"/>
      <c r="D83" s="272"/>
      <c r="E83" s="272"/>
      <c r="F83" s="272"/>
      <c r="G83" s="272"/>
      <c r="H83" s="273"/>
      <c r="I83" s="9">
        <v>3</v>
      </c>
      <c r="J83" s="9" t="s">
        <v>54</v>
      </c>
    </row>
    <row r="84" spans="2:10" ht="20.100000000000001" customHeight="1" thickBot="1" x14ac:dyDescent="0.2"/>
    <row r="85" spans="2:10" ht="27" customHeight="1" thickBot="1" x14ac:dyDescent="0.2">
      <c r="B85" s="8" t="s">
        <v>74</v>
      </c>
      <c r="C85" s="265"/>
      <c r="D85" s="266"/>
      <c r="E85" s="266"/>
      <c r="F85" s="266"/>
      <c r="G85" s="266"/>
      <c r="H85" s="267"/>
      <c r="I85" s="76" t="str">
        <f>IF(C85="","",LEN(C85)&amp;"/120　文字")</f>
        <v/>
      </c>
    </row>
    <row r="86" spans="2:10" ht="27" customHeight="1" thickBot="1" x14ac:dyDescent="0.2">
      <c r="B86" s="19" t="s">
        <v>86</v>
      </c>
      <c r="C86" s="268"/>
      <c r="D86" s="269"/>
      <c r="E86" s="269"/>
      <c r="F86" s="269"/>
      <c r="G86" s="269"/>
      <c r="H86" s="270"/>
      <c r="I86" s="9"/>
    </row>
    <row r="87" spans="2:10" ht="27" customHeight="1" thickBot="1" x14ac:dyDescent="0.2">
      <c r="B87" s="26" t="str">
        <f>IF(B88="","",VLOOKUP(B88,I89:J92,2,FALSE))</f>
        <v/>
      </c>
      <c r="C87" s="268"/>
      <c r="D87" s="269"/>
      <c r="E87" s="269"/>
      <c r="F87" s="269"/>
      <c r="G87" s="269"/>
      <c r="H87" s="270"/>
      <c r="I87" s="179" t="str">
        <f>IF(AND(B88&gt;=2,C85=""),"特記事項は記入していますか？","")</f>
        <v/>
      </c>
    </row>
    <row r="88" spans="2:10" ht="23.1" customHeight="1" thickBot="1" x14ac:dyDescent="0.2">
      <c r="B88" s="275"/>
      <c r="C88" s="268"/>
      <c r="D88" s="269"/>
      <c r="E88" s="269"/>
      <c r="F88" s="269"/>
      <c r="G88" s="269"/>
      <c r="H88" s="270"/>
      <c r="I88" s="9"/>
    </row>
    <row r="89" spans="2:10" ht="23.1" customHeight="1" thickBot="1" x14ac:dyDescent="0.2">
      <c r="B89" s="276"/>
      <c r="C89" s="268"/>
      <c r="D89" s="269"/>
      <c r="E89" s="269"/>
      <c r="F89" s="269"/>
      <c r="G89" s="269"/>
      <c r="H89" s="270"/>
      <c r="I89" s="9">
        <v>1</v>
      </c>
      <c r="J89" s="9" t="s">
        <v>90</v>
      </c>
    </row>
    <row r="90" spans="2:10" ht="23.1" customHeight="1" thickBot="1" x14ac:dyDescent="0.2">
      <c r="B90" s="276"/>
      <c r="C90" s="268"/>
      <c r="D90" s="269"/>
      <c r="E90" s="269"/>
      <c r="F90" s="269"/>
      <c r="G90" s="269"/>
      <c r="H90" s="270"/>
      <c r="I90" s="9">
        <v>2</v>
      </c>
      <c r="J90" s="9" t="s">
        <v>89</v>
      </c>
    </row>
    <row r="91" spans="2:10" ht="23.1" customHeight="1" thickBot="1" x14ac:dyDescent="0.2">
      <c r="B91" s="276"/>
      <c r="C91" s="268"/>
      <c r="D91" s="269"/>
      <c r="E91" s="269"/>
      <c r="F91" s="269"/>
      <c r="G91" s="269"/>
      <c r="H91" s="270"/>
      <c r="I91" s="9">
        <v>3</v>
      </c>
      <c r="J91" s="9" t="s">
        <v>53</v>
      </c>
    </row>
    <row r="92" spans="2:10" ht="23.1" customHeight="1" thickBot="1" x14ac:dyDescent="0.2">
      <c r="B92" s="277"/>
      <c r="C92" s="271"/>
      <c r="D92" s="272"/>
      <c r="E92" s="272"/>
      <c r="F92" s="272"/>
      <c r="G92" s="272"/>
      <c r="H92" s="273"/>
      <c r="I92" s="9">
        <v>4</v>
      </c>
      <c r="J92" s="9" t="s">
        <v>54</v>
      </c>
    </row>
    <row r="93" spans="2:10" ht="20.100000000000001" customHeight="1" thickBot="1" x14ac:dyDescent="0.2"/>
    <row r="94" spans="2:10" ht="27" customHeight="1" thickBot="1" x14ac:dyDescent="0.2">
      <c r="B94" s="8" t="s">
        <v>75</v>
      </c>
      <c r="C94" s="265"/>
      <c r="D94" s="266"/>
      <c r="E94" s="266"/>
      <c r="F94" s="266"/>
      <c r="G94" s="266"/>
      <c r="H94" s="267"/>
      <c r="I94" s="76" t="str">
        <f>IF(C94="","",LEN(C94)&amp;"/120　文字")</f>
        <v/>
      </c>
    </row>
    <row r="95" spans="2:10" ht="27" customHeight="1" thickBot="1" x14ac:dyDescent="0.2">
      <c r="B95" s="17" t="s">
        <v>87</v>
      </c>
      <c r="C95" s="268"/>
      <c r="D95" s="269"/>
      <c r="E95" s="269"/>
      <c r="F95" s="269"/>
      <c r="G95" s="269"/>
      <c r="H95" s="270"/>
      <c r="I95" s="9"/>
    </row>
    <row r="96" spans="2:10" ht="27" customHeight="1" thickBot="1" x14ac:dyDescent="0.2">
      <c r="B96" s="26" t="str">
        <f>IF(B97="","",VLOOKUP(B97,I98:J101,2,FALSE))</f>
        <v/>
      </c>
      <c r="C96" s="268"/>
      <c r="D96" s="269"/>
      <c r="E96" s="269"/>
      <c r="F96" s="269"/>
      <c r="G96" s="269"/>
      <c r="H96" s="270"/>
      <c r="I96" s="179" t="str">
        <f>IF(AND(B97&gt;=2,C94=""),"特記事項は記入していますか？","")</f>
        <v/>
      </c>
    </row>
    <row r="97" spans="2:10" ht="23.1" customHeight="1" thickBot="1" x14ac:dyDescent="0.2">
      <c r="B97" s="275"/>
      <c r="C97" s="268"/>
      <c r="D97" s="269"/>
      <c r="E97" s="269"/>
      <c r="F97" s="269"/>
      <c r="G97" s="269"/>
      <c r="H97" s="270"/>
      <c r="I97" s="9"/>
    </row>
    <row r="98" spans="2:10" ht="23.1" customHeight="1" thickBot="1" x14ac:dyDescent="0.2">
      <c r="B98" s="276"/>
      <c r="C98" s="268"/>
      <c r="D98" s="269"/>
      <c r="E98" s="269"/>
      <c r="F98" s="269"/>
      <c r="G98" s="269"/>
      <c r="H98" s="270"/>
      <c r="I98" s="9">
        <v>1</v>
      </c>
      <c r="J98" s="9" t="s">
        <v>90</v>
      </c>
    </row>
    <row r="99" spans="2:10" ht="23.1" customHeight="1" thickBot="1" x14ac:dyDescent="0.2">
      <c r="B99" s="276"/>
      <c r="C99" s="268"/>
      <c r="D99" s="269"/>
      <c r="E99" s="269"/>
      <c r="F99" s="269"/>
      <c r="G99" s="269"/>
      <c r="H99" s="270"/>
      <c r="I99" s="9">
        <v>2</v>
      </c>
      <c r="J99" s="9" t="s">
        <v>89</v>
      </c>
    </row>
    <row r="100" spans="2:10" ht="23.1" customHeight="1" thickBot="1" x14ac:dyDescent="0.2">
      <c r="B100" s="276"/>
      <c r="C100" s="268"/>
      <c r="D100" s="269"/>
      <c r="E100" s="269"/>
      <c r="F100" s="269"/>
      <c r="G100" s="269"/>
      <c r="H100" s="270"/>
      <c r="I100" s="9">
        <v>3</v>
      </c>
      <c r="J100" s="9" t="s">
        <v>53</v>
      </c>
    </row>
    <row r="101" spans="2:10" ht="23.1" customHeight="1" thickBot="1" x14ac:dyDescent="0.2">
      <c r="B101" s="277"/>
      <c r="C101" s="271"/>
      <c r="D101" s="272"/>
      <c r="E101" s="272"/>
      <c r="F101" s="272"/>
      <c r="G101" s="272"/>
      <c r="H101" s="273"/>
      <c r="I101" s="9">
        <v>4</v>
      </c>
      <c r="J101" s="9" t="s">
        <v>54</v>
      </c>
    </row>
    <row r="102" spans="2:10" ht="20.100000000000001" customHeight="1" thickBot="1" x14ac:dyDescent="0.2"/>
    <row r="103" spans="2:10" ht="27" customHeight="1" thickBot="1" x14ac:dyDescent="0.2">
      <c r="B103" s="8" t="s">
        <v>76</v>
      </c>
      <c r="C103" s="265"/>
      <c r="D103" s="266"/>
      <c r="E103" s="266"/>
      <c r="F103" s="266"/>
      <c r="G103" s="266"/>
      <c r="H103" s="267"/>
      <c r="I103" s="76" t="str">
        <f>IF(C103="","",LEN(C103)&amp;"/120　文字")</f>
        <v/>
      </c>
    </row>
    <row r="104" spans="2:10" ht="27" customHeight="1" thickBot="1" x14ac:dyDescent="0.2">
      <c r="B104" s="10" t="s">
        <v>88</v>
      </c>
      <c r="C104" s="268"/>
      <c r="D104" s="269"/>
      <c r="E104" s="269"/>
      <c r="F104" s="269"/>
      <c r="G104" s="269"/>
      <c r="H104" s="270"/>
      <c r="I104" s="9"/>
    </row>
    <row r="105" spans="2:10" ht="27" customHeight="1" thickBot="1" x14ac:dyDescent="0.2">
      <c r="B105" s="26" t="str">
        <f>IF(B106="","",VLOOKUP(B106,I108:J110,2,FALSE))</f>
        <v/>
      </c>
      <c r="C105" s="268"/>
      <c r="D105" s="269"/>
      <c r="E105" s="269"/>
      <c r="F105" s="269"/>
      <c r="G105" s="269"/>
      <c r="H105" s="270"/>
      <c r="I105" s="179" t="str">
        <f>IF(AND(B106&gt;=2,C103=""),"特記事項は記入していますか？","")</f>
        <v/>
      </c>
    </row>
    <row r="106" spans="2:10" ht="23.1" customHeight="1" thickBot="1" x14ac:dyDescent="0.2">
      <c r="B106" s="275"/>
      <c r="C106" s="268"/>
      <c r="D106" s="269"/>
      <c r="E106" s="269"/>
      <c r="F106" s="269"/>
      <c r="G106" s="269"/>
      <c r="H106" s="270"/>
      <c r="I106" s="6"/>
    </row>
    <row r="107" spans="2:10" ht="23.1" customHeight="1" thickBot="1" x14ac:dyDescent="0.2">
      <c r="B107" s="276"/>
      <c r="C107" s="268"/>
      <c r="D107" s="269"/>
      <c r="E107" s="269"/>
      <c r="F107" s="269"/>
      <c r="G107" s="269"/>
      <c r="H107" s="270"/>
      <c r="I107" s="6"/>
    </row>
    <row r="108" spans="2:10" ht="23.1" customHeight="1" thickBot="1" x14ac:dyDescent="0.2">
      <c r="B108" s="276"/>
      <c r="C108" s="268"/>
      <c r="D108" s="269"/>
      <c r="E108" s="269"/>
      <c r="F108" s="269"/>
      <c r="G108" s="269"/>
      <c r="H108" s="270"/>
      <c r="I108" s="9">
        <v>1</v>
      </c>
      <c r="J108" s="9" t="s">
        <v>91</v>
      </c>
    </row>
    <row r="109" spans="2:10" ht="23.1" customHeight="1" thickBot="1" x14ac:dyDescent="0.2">
      <c r="B109" s="276"/>
      <c r="C109" s="268"/>
      <c r="D109" s="269"/>
      <c r="E109" s="269"/>
      <c r="F109" s="269"/>
      <c r="G109" s="269"/>
      <c r="H109" s="270"/>
      <c r="I109" s="9">
        <v>2</v>
      </c>
      <c r="J109" s="9" t="s">
        <v>92</v>
      </c>
    </row>
    <row r="110" spans="2:10" ht="23.1" customHeight="1" thickBot="1" x14ac:dyDescent="0.2">
      <c r="B110" s="277"/>
      <c r="C110" s="271"/>
      <c r="D110" s="272"/>
      <c r="E110" s="272"/>
      <c r="F110" s="272"/>
      <c r="G110" s="272"/>
      <c r="H110" s="273"/>
      <c r="I110" s="9">
        <v>3</v>
      </c>
      <c r="J110" s="9" t="s">
        <v>93</v>
      </c>
    </row>
    <row r="111" spans="2:10" ht="20.100000000000001" customHeight="1" x14ac:dyDescent="0.15"/>
  </sheetData>
  <sheetProtection password="C7C4" sheet="1" objects="1" scenarios="1" selectLockedCells="1"/>
  <mergeCells count="29">
    <mergeCell ref="C1:H1"/>
    <mergeCell ref="C85:H92"/>
    <mergeCell ref="B88:B92"/>
    <mergeCell ref="B25:B29"/>
    <mergeCell ref="C31:H38"/>
    <mergeCell ref="B34:B38"/>
    <mergeCell ref="C40:H47"/>
    <mergeCell ref="B43:B47"/>
    <mergeCell ref="C49:H56"/>
    <mergeCell ref="B52:B56"/>
    <mergeCell ref="C13:H20"/>
    <mergeCell ref="C22:H29"/>
    <mergeCell ref="C4:H11"/>
    <mergeCell ref="C2:D3"/>
    <mergeCell ref="E2:F3"/>
    <mergeCell ref="G2:H3"/>
    <mergeCell ref="I7:J7"/>
    <mergeCell ref="C94:H101"/>
    <mergeCell ref="B97:B101"/>
    <mergeCell ref="C103:H110"/>
    <mergeCell ref="B106:B110"/>
    <mergeCell ref="C58:H65"/>
    <mergeCell ref="B61:B65"/>
    <mergeCell ref="C67:H74"/>
    <mergeCell ref="B70:B74"/>
    <mergeCell ref="C76:H83"/>
    <mergeCell ref="B79:B83"/>
    <mergeCell ref="B16:B20"/>
    <mergeCell ref="B7:B11"/>
  </mergeCells>
  <phoneticPr fontId="1"/>
  <conditionalFormatting sqref="B7:B11">
    <cfRule type="cellIs" dxfId="22" priority="1" operator="lessThan">
      <formula>1</formula>
    </cfRule>
  </conditionalFormatting>
  <conditionalFormatting sqref="B16:B20">
    <cfRule type="cellIs" dxfId="21" priority="2" operator="lessThan">
      <formula>1</formula>
    </cfRule>
  </conditionalFormatting>
  <conditionalFormatting sqref="B25:B29 B34:B38 B43:B47 B52:B56 B61:B65 B70:B74 B79:B83 B88:B92 B97:B101 B106:B110">
    <cfRule type="cellIs" dxfId="20" priority="4" operator="lessThan">
      <formula>1</formula>
    </cfRule>
  </conditionalFormatting>
  <dataValidations count="3">
    <dataValidation type="whole" imeMode="halfAlpha" allowBlank="1" showInputMessage="1" showErrorMessage="1" sqref="B106:B110 B25:B29 B61:B65 B70:B74 B79:B83" xr:uid="{00000000-0002-0000-0200-000000000000}">
      <formula1>1</formula1>
      <formula2>3</formula2>
    </dataValidation>
    <dataValidation type="whole" imeMode="halfAlpha" allowBlank="1" showInputMessage="1" showErrorMessage="1" sqref="B97:B101 B7:B11 B16:B20 B34:B38 B43:B47 B52:B56 B88:B92" xr:uid="{00000000-0002-0000-0200-000001000000}">
      <formula1>1</formula1>
      <formula2>4</formula2>
    </dataValidation>
    <dataValidation type="textLength" imeMode="hiragana" operator="lessThanOrEqual" allowBlank="1" showInputMessage="1" showErrorMessage="1" sqref="C103:H110 C22:H29 C4:H11 C13:H20 C94:H101 C31:H38 C40:H47 C49:H56 C58:H65 C67:H74 C76:H83 C85:H92" xr:uid="{00000000-0002-0000-0200-000002000000}">
      <formula1>120</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66"/>
  </sheetPr>
  <dimension ref="B1:M84"/>
  <sheetViews>
    <sheetView zoomScaleNormal="100" workbookViewId="0">
      <pane ySplit="3" topLeftCell="A4" activePane="bottomLeft" state="frozen"/>
      <selection activeCell="W45" sqref="W45:AB52"/>
      <selection pane="bottomLeft" activeCell="C4" sqref="C4:H11"/>
    </sheetView>
  </sheetViews>
  <sheetFormatPr defaultColWidth="9" defaultRowHeight="13.5" x14ac:dyDescent="0.15"/>
  <cols>
    <col min="1" max="1" width="2" style="6" customWidth="1"/>
    <col min="2" max="2" width="10.625" style="6" customWidth="1"/>
    <col min="3" max="8" width="9" style="6"/>
    <col min="9" max="9" width="2.375" style="5" bestFit="1" customWidth="1"/>
    <col min="10" max="13" width="9" style="5"/>
    <col min="14" max="16384" width="9" style="6"/>
  </cols>
  <sheetData>
    <row r="1" spans="2:10" ht="21" x14ac:dyDescent="0.15">
      <c r="B1" s="18"/>
      <c r="C1" s="278" t="s">
        <v>95</v>
      </c>
      <c r="D1" s="278"/>
      <c r="E1" s="278"/>
      <c r="F1" s="278"/>
      <c r="G1" s="278"/>
      <c r="H1" s="278"/>
    </row>
    <row r="2" spans="2:10" x14ac:dyDescent="0.15">
      <c r="C2" s="281">
        <f>基本情報!$B$2</f>
        <v>0</v>
      </c>
      <c r="D2" s="281"/>
      <c r="E2" s="279">
        <f>基本情報!$B$3</f>
        <v>0</v>
      </c>
      <c r="F2" s="279"/>
      <c r="G2" s="283" t="str">
        <f>IF(計算シート!$M$78=0,"",計算シート!$M$78&amp;"/74　特記入力済み")</f>
        <v/>
      </c>
      <c r="H2" s="283"/>
    </row>
    <row r="3" spans="2:10" ht="14.25" thickBot="1" x14ac:dyDescent="0.2">
      <c r="B3" s="7"/>
      <c r="C3" s="282"/>
      <c r="D3" s="282"/>
      <c r="E3" s="280"/>
      <c r="F3" s="280"/>
      <c r="G3" s="284"/>
      <c r="H3" s="284"/>
    </row>
    <row r="4" spans="2:10" ht="27" customHeight="1" thickBot="1" x14ac:dyDescent="0.2">
      <c r="B4" s="8" t="s">
        <v>97</v>
      </c>
      <c r="C4" s="265"/>
      <c r="D4" s="266"/>
      <c r="E4" s="266"/>
      <c r="F4" s="266"/>
      <c r="G4" s="266"/>
      <c r="H4" s="267"/>
      <c r="I4" s="76" t="str">
        <f>IF(C4="","",LEN(C4)&amp;"/120　文字")</f>
        <v/>
      </c>
    </row>
    <row r="5" spans="2:10" ht="27" customHeight="1" thickBot="1" x14ac:dyDescent="0.2">
      <c r="B5" s="19" t="s">
        <v>105</v>
      </c>
      <c r="C5" s="268"/>
      <c r="D5" s="269"/>
      <c r="E5" s="269"/>
      <c r="F5" s="269"/>
      <c r="G5" s="269"/>
      <c r="H5" s="270"/>
      <c r="I5" s="9"/>
    </row>
    <row r="6" spans="2:10" ht="27" customHeight="1" thickBot="1" x14ac:dyDescent="0.2">
      <c r="B6" s="25" t="str">
        <f>IF(B7="","",VLOOKUP(B7,I8:J11,2,FALSE))</f>
        <v/>
      </c>
      <c r="C6" s="268"/>
      <c r="D6" s="269"/>
      <c r="E6" s="269"/>
      <c r="F6" s="269"/>
      <c r="G6" s="269"/>
      <c r="H6" s="270"/>
      <c r="I6" s="123" t="str">
        <f>IF(AND(B7&gt;=2,C4=""),"特記事項は記入していますか？","")</f>
        <v/>
      </c>
      <c r="J6" s="12"/>
    </row>
    <row r="7" spans="2:10" ht="23.1" customHeight="1" thickBot="1" x14ac:dyDescent="0.2">
      <c r="B7" s="275"/>
      <c r="C7" s="268"/>
      <c r="D7" s="269"/>
      <c r="E7" s="269"/>
      <c r="F7" s="269"/>
      <c r="G7" s="269"/>
      <c r="H7" s="270"/>
      <c r="I7" s="285"/>
      <c r="J7" s="285"/>
    </row>
    <row r="8" spans="2:10" ht="23.1" customHeight="1" thickBot="1" x14ac:dyDescent="0.2">
      <c r="B8" s="276"/>
      <c r="C8" s="268"/>
      <c r="D8" s="269"/>
      <c r="E8" s="269"/>
      <c r="F8" s="269"/>
      <c r="G8" s="269"/>
      <c r="H8" s="270"/>
      <c r="I8" s="9">
        <v>1</v>
      </c>
      <c r="J8" s="9" t="s">
        <v>114</v>
      </c>
    </row>
    <row r="9" spans="2:10" ht="23.1" customHeight="1" thickBot="1" x14ac:dyDescent="0.2">
      <c r="B9" s="276"/>
      <c r="C9" s="268"/>
      <c r="D9" s="269"/>
      <c r="E9" s="269"/>
      <c r="F9" s="269"/>
      <c r="G9" s="269"/>
      <c r="H9" s="270"/>
      <c r="I9" s="9">
        <v>2</v>
      </c>
      <c r="J9" s="9" t="s">
        <v>115</v>
      </c>
    </row>
    <row r="10" spans="2:10" ht="23.1" customHeight="1" thickBot="1" x14ac:dyDescent="0.2">
      <c r="B10" s="276"/>
      <c r="C10" s="268"/>
      <c r="D10" s="269"/>
      <c r="E10" s="269"/>
      <c r="F10" s="269"/>
      <c r="G10" s="269"/>
      <c r="H10" s="270"/>
      <c r="I10" s="9">
        <v>3</v>
      </c>
      <c r="J10" s="9" t="s">
        <v>116</v>
      </c>
    </row>
    <row r="11" spans="2:10" ht="23.1" customHeight="1" thickBot="1" x14ac:dyDescent="0.2">
      <c r="B11" s="277"/>
      <c r="C11" s="271"/>
      <c r="D11" s="272"/>
      <c r="E11" s="272"/>
      <c r="F11" s="272"/>
      <c r="G11" s="272"/>
      <c r="H11" s="273"/>
      <c r="I11" s="9">
        <v>4</v>
      </c>
      <c r="J11" s="9" t="s">
        <v>409</v>
      </c>
    </row>
    <row r="12" spans="2:10" ht="20.100000000000001" customHeight="1" thickBot="1" x14ac:dyDescent="0.2">
      <c r="I12" s="12"/>
      <c r="J12" s="12"/>
    </row>
    <row r="13" spans="2:10" ht="27" customHeight="1" thickBot="1" x14ac:dyDescent="0.2">
      <c r="B13" s="8" t="s">
        <v>96</v>
      </c>
      <c r="C13" s="265"/>
      <c r="D13" s="266"/>
      <c r="E13" s="266"/>
      <c r="F13" s="266"/>
      <c r="G13" s="266"/>
      <c r="H13" s="267"/>
      <c r="I13" s="76" t="str">
        <f>IF(C13="","",LEN(C13)&amp;"/120　文字")</f>
        <v/>
      </c>
      <c r="J13" s="12"/>
    </row>
    <row r="14" spans="2:10" ht="27" customHeight="1" thickBot="1" x14ac:dyDescent="0.2">
      <c r="B14" s="160" t="s">
        <v>106</v>
      </c>
      <c r="C14" s="268"/>
      <c r="D14" s="269"/>
      <c r="E14" s="269"/>
      <c r="F14" s="269"/>
      <c r="G14" s="269"/>
      <c r="H14" s="270"/>
      <c r="I14" s="11"/>
      <c r="J14" s="12"/>
    </row>
    <row r="15" spans="2:10" ht="27" customHeight="1" thickBot="1" x14ac:dyDescent="0.2">
      <c r="B15" s="26" t="str">
        <f>IF(B16="","",VLOOKUP(B16,I19:J20,2,FALSE))</f>
        <v/>
      </c>
      <c r="C15" s="268"/>
      <c r="D15" s="269"/>
      <c r="E15" s="269"/>
      <c r="F15" s="269"/>
      <c r="G15" s="269"/>
      <c r="H15" s="270"/>
      <c r="I15" s="123" t="str">
        <f>IF(AND(B16&gt;=2,C13=""),"特記事項は記入していますか？","")</f>
        <v/>
      </c>
      <c r="J15" s="12"/>
    </row>
    <row r="16" spans="2:10" ht="23.1" customHeight="1" thickBot="1" x14ac:dyDescent="0.2">
      <c r="B16" s="275"/>
      <c r="C16" s="268"/>
      <c r="D16" s="269"/>
      <c r="E16" s="269"/>
      <c r="F16" s="269"/>
      <c r="G16" s="269"/>
      <c r="H16" s="270"/>
      <c r="I16" s="11"/>
      <c r="J16" s="12"/>
    </row>
    <row r="17" spans="2:10" ht="23.1" customHeight="1" thickBot="1" x14ac:dyDescent="0.2">
      <c r="B17" s="276"/>
      <c r="C17" s="268"/>
      <c r="D17" s="269"/>
      <c r="E17" s="269"/>
      <c r="F17" s="269"/>
      <c r="G17" s="269"/>
      <c r="H17" s="270"/>
      <c r="I17" s="6"/>
      <c r="J17" s="6"/>
    </row>
    <row r="18" spans="2:10" ht="23.1" customHeight="1" thickBot="1" x14ac:dyDescent="0.2">
      <c r="B18" s="276"/>
      <c r="C18" s="268"/>
      <c r="D18" s="269"/>
      <c r="E18" s="269"/>
      <c r="F18" s="269"/>
      <c r="G18" s="269"/>
      <c r="H18" s="270"/>
      <c r="I18" s="6"/>
      <c r="J18" s="6"/>
    </row>
    <row r="19" spans="2:10" ht="23.1" customHeight="1" thickBot="1" x14ac:dyDescent="0.2">
      <c r="B19" s="276"/>
      <c r="C19" s="268"/>
      <c r="D19" s="269"/>
      <c r="E19" s="269"/>
      <c r="F19" s="269"/>
      <c r="G19" s="269"/>
      <c r="H19" s="270"/>
      <c r="I19" s="9">
        <v>1</v>
      </c>
      <c r="J19" s="9" t="s">
        <v>114</v>
      </c>
    </row>
    <row r="20" spans="2:10" ht="23.1" customHeight="1" thickBot="1" x14ac:dyDescent="0.2">
      <c r="B20" s="277"/>
      <c r="C20" s="271"/>
      <c r="D20" s="272"/>
      <c r="E20" s="272"/>
      <c r="F20" s="272"/>
      <c r="G20" s="272"/>
      <c r="H20" s="273"/>
      <c r="I20" s="9">
        <v>2</v>
      </c>
      <c r="J20" s="9" t="s">
        <v>51</v>
      </c>
    </row>
    <row r="21" spans="2:10" ht="20.100000000000001" customHeight="1" thickBot="1" x14ac:dyDescent="0.2"/>
    <row r="22" spans="2:10" ht="27" customHeight="1" thickBot="1" x14ac:dyDescent="0.2">
      <c r="B22" s="8" t="s">
        <v>98</v>
      </c>
      <c r="C22" s="265"/>
      <c r="D22" s="266"/>
      <c r="E22" s="266"/>
      <c r="F22" s="266"/>
      <c r="G22" s="266"/>
      <c r="H22" s="267"/>
      <c r="I22" s="76" t="str">
        <f>IF(C22="","",LEN(C22)&amp;"/120　文字")</f>
        <v/>
      </c>
      <c r="J22" s="12"/>
    </row>
    <row r="23" spans="2:10" ht="27" customHeight="1" thickBot="1" x14ac:dyDescent="0.2">
      <c r="B23" s="17" t="s">
        <v>107</v>
      </c>
      <c r="C23" s="268"/>
      <c r="D23" s="269"/>
      <c r="E23" s="269"/>
      <c r="F23" s="269"/>
      <c r="G23" s="269"/>
      <c r="H23" s="270"/>
      <c r="I23" s="11"/>
      <c r="J23" s="12"/>
    </row>
    <row r="24" spans="2:10" ht="27" customHeight="1" thickBot="1" x14ac:dyDescent="0.2">
      <c r="B24" s="26" t="str">
        <f>IF(B25="","",VLOOKUP(B25,I28:J29,2,FALSE))</f>
        <v/>
      </c>
      <c r="C24" s="268"/>
      <c r="D24" s="269"/>
      <c r="E24" s="269"/>
      <c r="F24" s="269"/>
      <c r="G24" s="269"/>
      <c r="H24" s="270"/>
      <c r="I24" s="123" t="str">
        <f>IF(AND(B25&gt;=2,C22=""),"特記事項は記入していますか？","")</f>
        <v/>
      </c>
      <c r="J24" s="12"/>
    </row>
    <row r="25" spans="2:10" ht="23.1" customHeight="1" thickBot="1" x14ac:dyDescent="0.2">
      <c r="B25" s="275"/>
      <c r="C25" s="268"/>
      <c r="D25" s="269"/>
      <c r="E25" s="269"/>
      <c r="F25" s="269"/>
      <c r="G25" s="269"/>
      <c r="H25" s="270"/>
      <c r="I25" s="11"/>
      <c r="J25" s="12"/>
    </row>
    <row r="26" spans="2:10" ht="23.1" customHeight="1" thickBot="1" x14ac:dyDescent="0.2">
      <c r="B26" s="276"/>
      <c r="C26" s="268"/>
      <c r="D26" s="269"/>
      <c r="E26" s="269"/>
      <c r="F26" s="269"/>
      <c r="G26" s="269"/>
      <c r="H26" s="270"/>
      <c r="I26" s="6"/>
      <c r="J26" s="6"/>
    </row>
    <row r="27" spans="2:10" ht="23.1" customHeight="1" thickBot="1" x14ac:dyDescent="0.2">
      <c r="B27" s="276"/>
      <c r="C27" s="268"/>
      <c r="D27" s="269"/>
      <c r="E27" s="269"/>
      <c r="F27" s="269"/>
      <c r="G27" s="269"/>
      <c r="H27" s="270"/>
      <c r="I27" s="6"/>
      <c r="J27" s="6"/>
    </row>
    <row r="28" spans="2:10" ht="23.1" customHeight="1" thickBot="1" x14ac:dyDescent="0.2">
      <c r="B28" s="276"/>
      <c r="C28" s="268"/>
      <c r="D28" s="269"/>
      <c r="E28" s="269"/>
      <c r="F28" s="269"/>
      <c r="G28" s="269"/>
      <c r="H28" s="270"/>
      <c r="I28" s="9">
        <v>1</v>
      </c>
      <c r="J28" s="9" t="s">
        <v>114</v>
      </c>
    </row>
    <row r="29" spans="2:10" ht="23.1" customHeight="1" thickBot="1" x14ac:dyDescent="0.2">
      <c r="B29" s="277"/>
      <c r="C29" s="271"/>
      <c r="D29" s="272"/>
      <c r="E29" s="272"/>
      <c r="F29" s="272"/>
      <c r="G29" s="272"/>
      <c r="H29" s="273"/>
      <c r="I29" s="9">
        <v>2</v>
      </c>
      <c r="J29" s="9" t="s">
        <v>51</v>
      </c>
    </row>
    <row r="30" spans="2:10" ht="20.100000000000001" customHeight="1" thickBot="1" x14ac:dyDescent="0.2"/>
    <row r="31" spans="2:10" ht="27" customHeight="1" thickBot="1" x14ac:dyDescent="0.2">
      <c r="B31" s="8" t="s">
        <v>99</v>
      </c>
      <c r="C31" s="265"/>
      <c r="D31" s="266"/>
      <c r="E31" s="266"/>
      <c r="F31" s="266"/>
      <c r="G31" s="266"/>
      <c r="H31" s="267"/>
      <c r="I31" s="76" t="str">
        <f>IF(C31="","",LEN(C31)&amp;"/120　文字")</f>
        <v/>
      </c>
      <c r="J31" s="12"/>
    </row>
    <row r="32" spans="2:10" ht="27" customHeight="1" thickBot="1" x14ac:dyDescent="0.2">
      <c r="B32" s="10" t="s">
        <v>108</v>
      </c>
      <c r="C32" s="268"/>
      <c r="D32" s="269"/>
      <c r="E32" s="269"/>
      <c r="F32" s="269"/>
      <c r="G32" s="269"/>
      <c r="H32" s="270"/>
      <c r="I32" s="11"/>
      <c r="J32" s="12"/>
    </row>
    <row r="33" spans="2:10" ht="27" customHeight="1" thickBot="1" x14ac:dyDescent="0.2">
      <c r="B33" s="26" t="str">
        <f>IF(B34="","",VLOOKUP(B34,I37:J38,2,FALSE))</f>
        <v/>
      </c>
      <c r="C33" s="268"/>
      <c r="D33" s="269"/>
      <c r="E33" s="269"/>
      <c r="F33" s="269"/>
      <c r="G33" s="269"/>
      <c r="H33" s="270"/>
      <c r="I33" s="123" t="str">
        <f>IF(AND(B34&gt;=2,C31=""),"特記事項は記入していますか？","")</f>
        <v/>
      </c>
      <c r="J33" s="12"/>
    </row>
    <row r="34" spans="2:10" ht="23.1" customHeight="1" thickBot="1" x14ac:dyDescent="0.2">
      <c r="B34" s="275"/>
      <c r="C34" s="268"/>
      <c r="D34" s="269"/>
      <c r="E34" s="269"/>
      <c r="F34" s="269"/>
      <c r="G34" s="269"/>
      <c r="H34" s="270"/>
      <c r="I34" s="11"/>
      <c r="J34" s="12"/>
    </row>
    <row r="35" spans="2:10" ht="23.1" customHeight="1" thickBot="1" x14ac:dyDescent="0.2">
      <c r="B35" s="276"/>
      <c r="C35" s="268"/>
      <c r="D35" s="269"/>
      <c r="E35" s="269"/>
      <c r="F35" s="269"/>
      <c r="G35" s="269"/>
      <c r="H35" s="270"/>
      <c r="I35" s="6"/>
      <c r="J35" s="6"/>
    </row>
    <row r="36" spans="2:10" ht="23.1" customHeight="1" thickBot="1" x14ac:dyDescent="0.2">
      <c r="B36" s="276"/>
      <c r="C36" s="268"/>
      <c r="D36" s="269"/>
      <c r="E36" s="269"/>
      <c r="F36" s="269"/>
      <c r="G36" s="269"/>
      <c r="H36" s="270"/>
      <c r="I36" s="6"/>
      <c r="J36" s="6"/>
    </row>
    <row r="37" spans="2:10" ht="23.1" customHeight="1" thickBot="1" x14ac:dyDescent="0.2">
      <c r="B37" s="276"/>
      <c r="C37" s="268"/>
      <c r="D37" s="269"/>
      <c r="E37" s="269"/>
      <c r="F37" s="269"/>
      <c r="G37" s="269"/>
      <c r="H37" s="270"/>
      <c r="I37" s="9">
        <v>1</v>
      </c>
      <c r="J37" s="9" t="s">
        <v>114</v>
      </c>
    </row>
    <row r="38" spans="2:10" ht="23.1" customHeight="1" thickBot="1" x14ac:dyDescent="0.2">
      <c r="B38" s="277"/>
      <c r="C38" s="271"/>
      <c r="D38" s="272"/>
      <c r="E38" s="272"/>
      <c r="F38" s="272"/>
      <c r="G38" s="272"/>
      <c r="H38" s="273"/>
      <c r="I38" s="9">
        <v>2</v>
      </c>
      <c r="J38" s="9" t="s">
        <v>51</v>
      </c>
    </row>
    <row r="39" spans="2:10" ht="20.100000000000001" customHeight="1" thickBot="1" x14ac:dyDescent="0.2"/>
    <row r="40" spans="2:10" ht="27" customHeight="1" thickBot="1" x14ac:dyDescent="0.2">
      <c r="B40" s="8" t="s">
        <v>100</v>
      </c>
      <c r="C40" s="265"/>
      <c r="D40" s="266"/>
      <c r="E40" s="266"/>
      <c r="F40" s="266"/>
      <c r="G40" s="266"/>
      <c r="H40" s="267"/>
      <c r="I40" s="76" t="str">
        <f>IF(C40="","",LEN(C40)&amp;"/120　文字")</f>
        <v/>
      </c>
      <c r="J40" s="12"/>
    </row>
    <row r="41" spans="2:10" ht="27" customHeight="1" thickBot="1" x14ac:dyDescent="0.2">
      <c r="B41" s="17" t="s">
        <v>109</v>
      </c>
      <c r="C41" s="268"/>
      <c r="D41" s="269"/>
      <c r="E41" s="269"/>
      <c r="F41" s="269"/>
      <c r="G41" s="269"/>
      <c r="H41" s="270"/>
      <c r="I41" s="11"/>
      <c r="J41" s="12"/>
    </row>
    <row r="42" spans="2:10" ht="27" customHeight="1" thickBot="1" x14ac:dyDescent="0.2">
      <c r="B42" s="26" t="str">
        <f>IF(B43="","",VLOOKUP(B43,I46:J47,2,FALSE))</f>
        <v/>
      </c>
      <c r="C42" s="268"/>
      <c r="D42" s="269"/>
      <c r="E42" s="269"/>
      <c r="F42" s="269"/>
      <c r="G42" s="269"/>
      <c r="H42" s="270"/>
      <c r="I42" s="123" t="str">
        <f>IF(AND(B43&gt;=2,C40=""),"特記事項は記入していますか？","")</f>
        <v/>
      </c>
      <c r="J42" s="12"/>
    </row>
    <row r="43" spans="2:10" ht="23.1" customHeight="1" thickBot="1" x14ac:dyDescent="0.2">
      <c r="B43" s="275"/>
      <c r="C43" s="268"/>
      <c r="D43" s="269"/>
      <c r="E43" s="269"/>
      <c r="F43" s="269"/>
      <c r="G43" s="269"/>
      <c r="H43" s="270"/>
      <c r="I43" s="11"/>
      <c r="J43" s="12"/>
    </row>
    <row r="44" spans="2:10" ht="23.1" customHeight="1" thickBot="1" x14ac:dyDescent="0.2">
      <c r="B44" s="276"/>
      <c r="C44" s="268"/>
      <c r="D44" s="269"/>
      <c r="E44" s="269"/>
      <c r="F44" s="269"/>
      <c r="G44" s="269"/>
      <c r="H44" s="270"/>
      <c r="I44" s="6"/>
      <c r="J44" s="6"/>
    </row>
    <row r="45" spans="2:10" ht="23.1" customHeight="1" thickBot="1" x14ac:dyDescent="0.2">
      <c r="B45" s="276"/>
      <c r="C45" s="268"/>
      <c r="D45" s="269"/>
      <c r="E45" s="269"/>
      <c r="F45" s="269"/>
      <c r="G45" s="269"/>
      <c r="H45" s="270"/>
      <c r="I45" s="6"/>
      <c r="J45" s="6"/>
    </row>
    <row r="46" spans="2:10" ht="23.1" customHeight="1" thickBot="1" x14ac:dyDescent="0.2">
      <c r="B46" s="276"/>
      <c r="C46" s="268"/>
      <c r="D46" s="269"/>
      <c r="E46" s="269"/>
      <c r="F46" s="269"/>
      <c r="G46" s="269"/>
      <c r="H46" s="270"/>
      <c r="I46" s="9">
        <v>1</v>
      </c>
      <c r="J46" s="9" t="s">
        <v>114</v>
      </c>
    </row>
    <row r="47" spans="2:10" ht="23.1" customHeight="1" thickBot="1" x14ac:dyDescent="0.2">
      <c r="B47" s="277"/>
      <c r="C47" s="271"/>
      <c r="D47" s="272"/>
      <c r="E47" s="272"/>
      <c r="F47" s="272"/>
      <c r="G47" s="272"/>
      <c r="H47" s="273"/>
      <c r="I47" s="9">
        <v>2</v>
      </c>
      <c r="J47" s="9" t="s">
        <v>51</v>
      </c>
    </row>
    <row r="48" spans="2:10" ht="20.100000000000001" customHeight="1" thickBot="1" x14ac:dyDescent="0.2"/>
    <row r="49" spans="2:10" ht="27" customHeight="1" thickBot="1" x14ac:dyDescent="0.2">
      <c r="B49" s="8" t="s">
        <v>101</v>
      </c>
      <c r="C49" s="265"/>
      <c r="D49" s="266"/>
      <c r="E49" s="266"/>
      <c r="F49" s="266"/>
      <c r="G49" s="266"/>
      <c r="H49" s="267"/>
      <c r="I49" s="76" t="str">
        <f>IF(C49="","",LEN(C49)&amp;"/120　文字")</f>
        <v/>
      </c>
      <c r="J49" s="12"/>
    </row>
    <row r="50" spans="2:10" ht="27" customHeight="1" thickBot="1" x14ac:dyDescent="0.2">
      <c r="B50" s="17" t="s">
        <v>110</v>
      </c>
      <c r="C50" s="268"/>
      <c r="D50" s="269"/>
      <c r="E50" s="269"/>
      <c r="F50" s="269"/>
      <c r="G50" s="269"/>
      <c r="H50" s="270"/>
      <c r="I50" s="11"/>
      <c r="J50" s="12"/>
    </row>
    <row r="51" spans="2:10" ht="27" customHeight="1" thickBot="1" x14ac:dyDescent="0.2">
      <c r="B51" s="26" t="str">
        <f>IF(B52="","",VLOOKUP(B52,I55:J56,2,FALSE))</f>
        <v/>
      </c>
      <c r="C51" s="268"/>
      <c r="D51" s="269"/>
      <c r="E51" s="269"/>
      <c r="F51" s="269"/>
      <c r="G51" s="269"/>
      <c r="H51" s="270"/>
      <c r="I51" s="123" t="str">
        <f>IF(AND(B52&gt;=2,C49=""),"特記事項は記入していますか？","")</f>
        <v/>
      </c>
      <c r="J51" s="12"/>
    </row>
    <row r="52" spans="2:10" ht="23.1" customHeight="1" thickBot="1" x14ac:dyDescent="0.2">
      <c r="B52" s="275"/>
      <c r="C52" s="268"/>
      <c r="D52" s="269"/>
      <c r="E52" s="269"/>
      <c r="F52" s="269"/>
      <c r="G52" s="269"/>
      <c r="H52" s="270"/>
      <c r="I52" s="11"/>
      <c r="J52" s="12"/>
    </row>
    <row r="53" spans="2:10" ht="23.1" customHeight="1" thickBot="1" x14ac:dyDescent="0.2">
      <c r="B53" s="276"/>
      <c r="C53" s="268"/>
      <c r="D53" s="269"/>
      <c r="E53" s="269"/>
      <c r="F53" s="269"/>
      <c r="G53" s="269"/>
      <c r="H53" s="270"/>
      <c r="I53" s="6"/>
      <c r="J53" s="6"/>
    </row>
    <row r="54" spans="2:10" ht="23.1" customHeight="1" thickBot="1" x14ac:dyDescent="0.2">
      <c r="B54" s="276"/>
      <c r="C54" s="268"/>
      <c r="D54" s="269"/>
      <c r="E54" s="269"/>
      <c r="F54" s="269"/>
      <c r="G54" s="269"/>
      <c r="H54" s="270"/>
      <c r="I54" s="6"/>
      <c r="J54" s="6"/>
    </row>
    <row r="55" spans="2:10" ht="23.1" customHeight="1" thickBot="1" x14ac:dyDescent="0.2">
      <c r="B55" s="276"/>
      <c r="C55" s="268"/>
      <c r="D55" s="269"/>
      <c r="E55" s="269"/>
      <c r="F55" s="269"/>
      <c r="G55" s="269"/>
      <c r="H55" s="270"/>
      <c r="I55" s="9">
        <v>1</v>
      </c>
      <c r="J55" s="9" t="s">
        <v>114</v>
      </c>
    </row>
    <row r="56" spans="2:10" ht="23.1" customHeight="1" thickBot="1" x14ac:dyDescent="0.2">
      <c r="B56" s="277"/>
      <c r="C56" s="271"/>
      <c r="D56" s="272"/>
      <c r="E56" s="272"/>
      <c r="F56" s="272"/>
      <c r="G56" s="272"/>
      <c r="H56" s="273"/>
      <c r="I56" s="9">
        <v>2</v>
      </c>
      <c r="J56" s="9" t="s">
        <v>51</v>
      </c>
    </row>
    <row r="57" spans="2:10" ht="20.100000000000001" customHeight="1" thickBot="1" x14ac:dyDescent="0.2"/>
    <row r="58" spans="2:10" ht="27" customHeight="1" thickBot="1" x14ac:dyDescent="0.2">
      <c r="B58" s="8" t="s">
        <v>102</v>
      </c>
      <c r="C58" s="265"/>
      <c r="D58" s="266"/>
      <c r="E58" s="266"/>
      <c r="F58" s="266"/>
      <c r="G58" s="266"/>
      <c r="H58" s="267"/>
      <c r="I58" s="76" t="str">
        <f>IF(C58="","",LEN(C58)&amp;"/120　文字")</f>
        <v/>
      </c>
      <c r="J58" s="12"/>
    </row>
    <row r="59" spans="2:10" ht="27" customHeight="1" thickBot="1" x14ac:dyDescent="0.2">
      <c r="B59" s="19" t="s">
        <v>111</v>
      </c>
      <c r="C59" s="268"/>
      <c r="D59" s="269"/>
      <c r="E59" s="269"/>
      <c r="F59" s="269"/>
      <c r="G59" s="269"/>
      <c r="H59" s="270"/>
      <c r="I59" s="11"/>
      <c r="J59" s="12"/>
    </row>
    <row r="60" spans="2:10" ht="27" customHeight="1" thickBot="1" x14ac:dyDescent="0.2">
      <c r="B60" s="26" t="str">
        <f>IF(B61="","",VLOOKUP(B61,I64:J65,2,FALSE))</f>
        <v/>
      </c>
      <c r="C60" s="268"/>
      <c r="D60" s="269"/>
      <c r="E60" s="269"/>
      <c r="F60" s="269"/>
      <c r="G60" s="269"/>
      <c r="H60" s="270"/>
      <c r="I60" s="123" t="str">
        <f>IF(AND(B61&gt;=2,C58=""),"特記事項は記入していますか？","")</f>
        <v/>
      </c>
      <c r="J60" s="12"/>
    </row>
    <row r="61" spans="2:10" ht="23.1" customHeight="1" thickBot="1" x14ac:dyDescent="0.2">
      <c r="B61" s="275"/>
      <c r="C61" s="268"/>
      <c r="D61" s="269"/>
      <c r="E61" s="269"/>
      <c r="F61" s="269"/>
      <c r="G61" s="269"/>
      <c r="H61" s="270"/>
      <c r="I61" s="11"/>
      <c r="J61" s="12"/>
    </row>
    <row r="62" spans="2:10" ht="23.1" customHeight="1" thickBot="1" x14ac:dyDescent="0.2">
      <c r="B62" s="276"/>
      <c r="C62" s="268"/>
      <c r="D62" s="269"/>
      <c r="E62" s="269"/>
      <c r="F62" s="269"/>
      <c r="G62" s="269"/>
      <c r="H62" s="270"/>
      <c r="I62" s="6"/>
      <c r="J62" s="6"/>
    </row>
    <row r="63" spans="2:10" ht="23.1" customHeight="1" thickBot="1" x14ac:dyDescent="0.2">
      <c r="B63" s="276"/>
      <c r="C63" s="268"/>
      <c r="D63" s="269"/>
      <c r="E63" s="269"/>
      <c r="F63" s="269"/>
      <c r="G63" s="269"/>
      <c r="H63" s="270"/>
      <c r="I63" s="6"/>
      <c r="J63" s="6"/>
    </row>
    <row r="64" spans="2:10" ht="23.1" customHeight="1" thickBot="1" x14ac:dyDescent="0.2">
      <c r="B64" s="276"/>
      <c r="C64" s="268"/>
      <c r="D64" s="269"/>
      <c r="E64" s="269"/>
      <c r="F64" s="269"/>
      <c r="G64" s="269"/>
      <c r="H64" s="270"/>
      <c r="I64" s="9">
        <v>1</v>
      </c>
      <c r="J64" s="9" t="s">
        <v>114</v>
      </c>
    </row>
    <row r="65" spans="2:10" ht="23.1" customHeight="1" thickBot="1" x14ac:dyDescent="0.2">
      <c r="B65" s="277"/>
      <c r="C65" s="271"/>
      <c r="D65" s="272"/>
      <c r="E65" s="272"/>
      <c r="F65" s="272"/>
      <c r="G65" s="272"/>
      <c r="H65" s="273"/>
      <c r="I65" s="9">
        <v>2</v>
      </c>
      <c r="J65" s="9" t="s">
        <v>51</v>
      </c>
    </row>
    <row r="66" spans="2:10" ht="20.100000000000001" customHeight="1" thickBot="1" x14ac:dyDescent="0.2">
      <c r="J66" s="6"/>
    </row>
    <row r="67" spans="2:10" ht="27" customHeight="1" thickBot="1" x14ac:dyDescent="0.2">
      <c r="B67" s="8" t="s">
        <v>103</v>
      </c>
      <c r="C67" s="265"/>
      <c r="D67" s="266"/>
      <c r="E67" s="266"/>
      <c r="F67" s="266"/>
      <c r="G67" s="266"/>
      <c r="H67" s="267"/>
      <c r="I67" s="76" t="str">
        <f>IF(C67="","",LEN(C67)&amp;"/120　文字")</f>
        <v/>
      </c>
    </row>
    <row r="68" spans="2:10" ht="27" customHeight="1" thickBot="1" x14ac:dyDescent="0.2">
      <c r="B68" s="10" t="s">
        <v>112</v>
      </c>
      <c r="C68" s="268"/>
      <c r="D68" s="269"/>
      <c r="E68" s="269"/>
      <c r="F68" s="269"/>
      <c r="G68" s="269"/>
      <c r="H68" s="270"/>
      <c r="I68" s="9"/>
    </row>
    <row r="69" spans="2:10" ht="27" customHeight="1" thickBot="1" x14ac:dyDescent="0.2">
      <c r="B69" s="26" t="str">
        <f>IF(B70="","",VLOOKUP(B70,I72:J74,2,FALSE))</f>
        <v/>
      </c>
      <c r="C69" s="268"/>
      <c r="D69" s="269"/>
      <c r="E69" s="269"/>
      <c r="F69" s="269"/>
      <c r="G69" s="269"/>
      <c r="H69" s="270"/>
      <c r="I69" s="123" t="str">
        <f>IF(AND(B70&gt;=2,C67=""),"特記事項は記入していますか？","")</f>
        <v/>
      </c>
    </row>
    <row r="70" spans="2:10" ht="23.1" customHeight="1" thickBot="1" x14ac:dyDescent="0.2">
      <c r="B70" s="275"/>
      <c r="C70" s="268"/>
      <c r="D70" s="269"/>
      <c r="E70" s="269"/>
      <c r="F70" s="269"/>
      <c r="G70" s="269"/>
      <c r="H70" s="270"/>
      <c r="I70" s="9"/>
    </row>
    <row r="71" spans="2:10" ht="23.1" customHeight="1" thickBot="1" x14ac:dyDescent="0.2">
      <c r="B71" s="276"/>
      <c r="C71" s="268"/>
      <c r="D71" s="269"/>
      <c r="E71" s="269"/>
      <c r="F71" s="269"/>
      <c r="G71" s="269"/>
      <c r="H71" s="270"/>
      <c r="I71" s="9"/>
    </row>
    <row r="72" spans="2:10" ht="23.1" customHeight="1" thickBot="1" x14ac:dyDescent="0.2">
      <c r="B72" s="276"/>
      <c r="C72" s="268"/>
      <c r="D72" s="269"/>
      <c r="E72" s="269"/>
      <c r="F72" s="269"/>
      <c r="G72" s="269"/>
      <c r="H72" s="270"/>
      <c r="I72" s="9">
        <v>1</v>
      </c>
      <c r="J72" s="9" t="s">
        <v>117</v>
      </c>
    </row>
    <row r="73" spans="2:10" ht="23.1" customHeight="1" thickBot="1" x14ac:dyDescent="0.2">
      <c r="B73" s="276"/>
      <c r="C73" s="268"/>
      <c r="D73" s="269"/>
      <c r="E73" s="269"/>
      <c r="F73" s="269"/>
      <c r="G73" s="269"/>
      <c r="H73" s="270"/>
      <c r="I73" s="9">
        <v>2</v>
      </c>
      <c r="J73" s="9" t="s">
        <v>118</v>
      </c>
    </row>
    <row r="74" spans="2:10" ht="23.1" customHeight="1" thickBot="1" x14ac:dyDescent="0.2">
      <c r="B74" s="277"/>
      <c r="C74" s="271"/>
      <c r="D74" s="272"/>
      <c r="E74" s="272"/>
      <c r="F74" s="272"/>
      <c r="G74" s="272"/>
      <c r="H74" s="273"/>
      <c r="I74" s="9">
        <v>3</v>
      </c>
      <c r="J74" s="9" t="s">
        <v>410</v>
      </c>
    </row>
    <row r="75" spans="2:10" ht="20.100000000000001" customHeight="1" thickBot="1" x14ac:dyDescent="0.2"/>
    <row r="76" spans="2:10" ht="27" customHeight="1" thickBot="1" x14ac:dyDescent="0.2">
      <c r="B76" s="8" t="s">
        <v>104</v>
      </c>
      <c r="C76" s="265"/>
      <c r="D76" s="266"/>
      <c r="E76" s="266"/>
      <c r="F76" s="266"/>
      <c r="G76" s="266"/>
      <c r="H76" s="267"/>
      <c r="I76" s="76" t="str">
        <f>IF(C76="","",LEN(C76)&amp;"/120　文字")</f>
        <v/>
      </c>
    </row>
    <row r="77" spans="2:10" ht="27" customHeight="1" thickBot="1" x14ac:dyDescent="0.2">
      <c r="B77" s="17" t="s">
        <v>113</v>
      </c>
      <c r="C77" s="268"/>
      <c r="D77" s="269"/>
      <c r="E77" s="269"/>
      <c r="F77" s="269"/>
      <c r="G77" s="269"/>
      <c r="H77" s="270"/>
      <c r="I77" s="9"/>
    </row>
    <row r="78" spans="2:10" ht="27" customHeight="1" thickBot="1" x14ac:dyDescent="0.2">
      <c r="B78" s="26" t="str">
        <f>IF(B79="","",VLOOKUP(B79,I81:J83,2,FALSE))</f>
        <v/>
      </c>
      <c r="C78" s="268"/>
      <c r="D78" s="269"/>
      <c r="E78" s="269"/>
      <c r="F78" s="269"/>
      <c r="G78" s="269"/>
      <c r="H78" s="270"/>
      <c r="I78" s="123" t="str">
        <f>IF(AND(B79&gt;=2,C76=""),"特記事項は記入していますか？","")</f>
        <v/>
      </c>
    </row>
    <row r="79" spans="2:10" ht="23.1" customHeight="1" thickBot="1" x14ac:dyDescent="0.2">
      <c r="B79" s="275"/>
      <c r="C79" s="268"/>
      <c r="D79" s="269"/>
      <c r="E79" s="269"/>
      <c r="F79" s="269"/>
      <c r="G79" s="269"/>
      <c r="H79" s="270"/>
      <c r="I79" s="9"/>
    </row>
    <row r="80" spans="2:10" ht="23.1" customHeight="1" thickBot="1" x14ac:dyDescent="0.2">
      <c r="B80" s="276"/>
      <c r="C80" s="268"/>
      <c r="D80" s="269"/>
      <c r="E80" s="269"/>
      <c r="F80" s="269"/>
      <c r="G80" s="269"/>
      <c r="H80" s="270"/>
      <c r="I80" s="9"/>
    </row>
    <row r="81" spans="2:10" ht="23.1" customHeight="1" thickBot="1" x14ac:dyDescent="0.2">
      <c r="B81" s="276"/>
      <c r="C81" s="268"/>
      <c r="D81" s="269"/>
      <c r="E81" s="269"/>
      <c r="F81" s="269"/>
      <c r="G81" s="269"/>
      <c r="H81" s="270"/>
      <c r="I81" s="9">
        <v>1</v>
      </c>
      <c r="J81" s="9" t="s">
        <v>117</v>
      </c>
    </row>
    <row r="82" spans="2:10" ht="23.1" customHeight="1" thickBot="1" x14ac:dyDescent="0.2">
      <c r="B82" s="276"/>
      <c r="C82" s="268"/>
      <c r="D82" s="269"/>
      <c r="E82" s="269"/>
      <c r="F82" s="269"/>
      <c r="G82" s="269"/>
      <c r="H82" s="270"/>
      <c r="I82" s="9">
        <v>2</v>
      </c>
      <c r="J82" s="9" t="s">
        <v>118</v>
      </c>
    </row>
    <row r="83" spans="2:10" ht="23.1" customHeight="1" thickBot="1" x14ac:dyDescent="0.2">
      <c r="B83" s="277"/>
      <c r="C83" s="271"/>
      <c r="D83" s="272"/>
      <c r="E83" s="272"/>
      <c r="F83" s="272"/>
      <c r="G83" s="272"/>
      <c r="H83" s="273"/>
      <c r="I83" s="9">
        <v>3</v>
      </c>
      <c r="J83" s="9" t="s">
        <v>410</v>
      </c>
    </row>
    <row r="84" spans="2:10" ht="20.100000000000001" customHeight="1" x14ac:dyDescent="0.15"/>
  </sheetData>
  <sheetProtection password="C7C4" sheet="1" objects="1" scenarios="1" selectLockedCells="1"/>
  <mergeCells count="23">
    <mergeCell ref="C1:H1"/>
    <mergeCell ref="B7:B11"/>
    <mergeCell ref="B16:B20"/>
    <mergeCell ref="C58:H65"/>
    <mergeCell ref="B61:B65"/>
    <mergeCell ref="C13:H20"/>
    <mergeCell ref="C4:H11"/>
    <mergeCell ref="C2:D3"/>
    <mergeCell ref="E2:F3"/>
    <mergeCell ref="G2:H3"/>
    <mergeCell ref="I7:J7"/>
    <mergeCell ref="C67:H74"/>
    <mergeCell ref="B70:B74"/>
    <mergeCell ref="C76:H83"/>
    <mergeCell ref="B79:B83"/>
    <mergeCell ref="B25:B29"/>
    <mergeCell ref="C31:H38"/>
    <mergeCell ref="B34:B38"/>
    <mergeCell ref="C40:H47"/>
    <mergeCell ref="B43:B47"/>
    <mergeCell ref="C49:H56"/>
    <mergeCell ref="B52:B56"/>
    <mergeCell ref="C22:H29"/>
  </mergeCells>
  <phoneticPr fontId="1"/>
  <conditionalFormatting sqref="B7:B11 B16:B20 B25:B29 B34:B38 B43:B47 B52:B56 B61:B65 B70:B74 B79:B83">
    <cfRule type="cellIs" dxfId="19" priority="3" operator="lessThan">
      <formula>1</formula>
    </cfRule>
  </conditionalFormatting>
  <dataValidations count="4">
    <dataValidation type="whole" imeMode="halfAlpha" allowBlank="1" showInputMessage="1" showErrorMessage="1" sqref="B7:B11" xr:uid="{00000000-0002-0000-0300-000000000000}">
      <formula1>1</formula1>
      <formula2>4</formula2>
    </dataValidation>
    <dataValidation type="whole" imeMode="halfAlpha" allowBlank="1" showInputMessage="1" showErrorMessage="1" sqref="B16:B20 B25:B29 B34:B38 B43:B47 B52:B56 B61:B65" xr:uid="{00000000-0002-0000-0300-000001000000}">
      <formula1>1</formula1>
      <formula2>2</formula2>
    </dataValidation>
    <dataValidation type="whole" imeMode="halfAlpha" allowBlank="1" showInputMessage="1" showErrorMessage="1" sqref="B70:B74 B79:B83" xr:uid="{00000000-0002-0000-0300-000002000000}">
      <formula1>1</formula1>
      <formula2>3</formula2>
    </dataValidation>
    <dataValidation type="textLength" imeMode="hiragana" operator="lessThanOrEqual" allowBlank="1" showInputMessage="1" showErrorMessage="1" sqref="C76:H83 C4:H11 C13:H20 C22:H29 C31:H38 C40:H47 C49:H56 C58:H65 C67:H74" xr:uid="{00000000-0002-0000-0300-000003000000}">
      <formula1>120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66"/>
  </sheetPr>
  <dimension ref="B1:M137"/>
  <sheetViews>
    <sheetView zoomScaleNormal="100" workbookViewId="0">
      <pane ySplit="3" topLeftCell="A4" activePane="bottomLeft" state="frozen"/>
      <selection activeCell="W45" sqref="W45:AB52"/>
      <selection pane="bottomLeft" activeCell="B133" sqref="B133:B137"/>
    </sheetView>
  </sheetViews>
  <sheetFormatPr defaultColWidth="9" defaultRowHeight="13.5" x14ac:dyDescent="0.15"/>
  <cols>
    <col min="1" max="1" width="2" style="6" customWidth="1"/>
    <col min="2" max="2" width="10.625" style="6" customWidth="1"/>
    <col min="3" max="8" width="9" style="6"/>
    <col min="9" max="9" width="2.375" style="5" bestFit="1" customWidth="1"/>
    <col min="10" max="13" width="9" style="5"/>
    <col min="14" max="16384" width="9" style="6"/>
  </cols>
  <sheetData>
    <row r="1" spans="2:10" ht="21" x14ac:dyDescent="0.15">
      <c r="B1" s="18"/>
      <c r="C1" s="278" t="s">
        <v>149</v>
      </c>
      <c r="D1" s="278"/>
      <c r="E1" s="278"/>
      <c r="F1" s="278"/>
      <c r="G1" s="278"/>
      <c r="H1" s="278"/>
    </row>
    <row r="2" spans="2:10" x14ac:dyDescent="0.15">
      <c r="C2" s="281">
        <f>基本情報!$B$2</f>
        <v>0</v>
      </c>
      <c r="D2" s="281"/>
      <c r="E2" s="279">
        <f>基本情報!$B$3</f>
        <v>0</v>
      </c>
      <c r="F2" s="279"/>
      <c r="G2" s="283" t="str">
        <f>IF(計算シート!$M$78=0,"",計算シート!$M$78&amp;"/74　特記入力済み")</f>
        <v/>
      </c>
      <c r="H2" s="283"/>
    </row>
    <row r="3" spans="2:10" ht="14.25" thickBot="1" x14ac:dyDescent="0.2">
      <c r="B3" s="7"/>
      <c r="C3" s="282"/>
      <c r="D3" s="282"/>
      <c r="E3" s="280"/>
      <c r="F3" s="280"/>
      <c r="G3" s="284"/>
      <c r="H3" s="284"/>
    </row>
    <row r="4" spans="2:10" ht="27" customHeight="1" thickBot="1" x14ac:dyDescent="0.2">
      <c r="B4" s="8" t="s">
        <v>120</v>
      </c>
      <c r="C4" s="265"/>
      <c r="D4" s="266"/>
      <c r="E4" s="266"/>
      <c r="F4" s="266"/>
      <c r="G4" s="266"/>
      <c r="H4" s="267"/>
      <c r="I4" s="76" t="str">
        <f>IF(C4="","",LEN(C4)&amp;"/120　文字")</f>
        <v/>
      </c>
    </row>
    <row r="5" spans="2:10" ht="27" customHeight="1" thickBot="1" x14ac:dyDescent="0.2">
      <c r="B5" s="10" t="s">
        <v>133</v>
      </c>
      <c r="C5" s="268"/>
      <c r="D5" s="269"/>
      <c r="E5" s="269"/>
      <c r="F5" s="269"/>
      <c r="G5" s="269"/>
      <c r="H5" s="270"/>
      <c r="I5" s="9"/>
    </row>
    <row r="6" spans="2:10" ht="27" customHeight="1" thickBot="1" x14ac:dyDescent="0.2">
      <c r="B6" s="25" t="str">
        <f>IF(B7="","",VLOOKUP(B7,I9:J11,2,FALSE))</f>
        <v/>
      </c>
      <c r="C6" s="268"/>
      <c r="D6" s="269"/>
      <c r="E6" s="269"/>
      <c r="F6" s="269"/>
      <c r="G6" s="269"/>
      <c r="H6" s="270"/>
      <c r="I6" s="123" t="str">
        <f>IF(AND(B7&gt;=2,C4=""),"特記事項は記入していますか？","")</f>
        <v/>
      </c>
      <c r="J6" s="12"/>
    </row>
    <row r="7" spans="2:10" ht="23.1" customHeight="1" thickBot="1" x14ac:dyDescent="0.2">
      <c r="B7" s="275"/>
      <c r="C7" s="268"/>
      <c r="D7" s="269"/>
      <c r="E7" s="269"/>
      <c r="F7" s="269"/>
      <c r="G7" s="269"/>
      <c r="H7" s="270"/>
      <c r="I7" s="285"/>
      <c r="J7" s="285"/>
    </row>
    <row r="8" spans="2:10" ht="23.1" customHeight="1" thickBot="1" x14ac:dyDescent="0.2">
      <c r="B8" s="276"/>
      <c r="C8" s="268"/>
      <c r="D8" s="269"/>
      <c r="E8" s="269"/>
      <c r="F8" s="269"/>
      <c r="G8" s="269"/>
      <c r="H8" s="270"/>
      <c r="I8" s="6"/>
      <c r="J8" s="6"/>
    </row>
    <row r="9" spans="2:10" ht="23.1" customHeight="1" thickBot="1" x14ac:dyDescent="0.2">
      <c r="B9" s="276"/>
      <c r="C9" s="268"/>
      <c r="D9" s="269"/>
      <c r="E9" s="269"/>
      <c r="F9" s="269"/>
      <c r="G9" s="269"/>
      <c r="H9" s="270"/>
      <c r="I9" s="9">
        <v>1</v>
      </c>
      <c r="J9" s="9" t="s">
        <v>146</v>
      </c>
    </row>
    <row r="10" spans="2:10" ht="23.1" customHeight="1" thickBot="1" x14ac:dyDescent="0.2">
      <c r="B10" s="276"/>
      <c r="C10" s="268"/>
      <c r="D10" s="269"/>
      <c r="E10" s="269"/>
      <c r="F10" s="269"/>
      <c r="G10" s="269"/>
      <c r="H10" s="270"/>
      <c r="I10" s="9">
        <v>2</v>
      </c>
      <c r="J10" s="9" t="s">
        <v>147</v>
      </c>
    </row>
    <row r="11" spans="2:10" ht="23.1" customHeight="1" thickBot="1" x14ac:dyDescent="0.2">
      <c r="B11" s="277"/>
      <c r="C11" s="271"/>
      <c r="D11" s="272"/>
      <c r="E11" s="272"/>
      <c r="F11" s="272"/>
      <c r="G11" s="272"/>
      <c r="H11" s="273"/>
      <c r="I11" s="9">
        <v>3</v>
      </c>
      <c r="J11" s="9" t="s">
        <v>148</v>
      </c>
    </row>
    <row r="12" spans="2:10" ht="20.100000000000001" customHeight="1" thickBot="1" x14ac:dyDescent="0.2">
      <c r="I12" s="12"/>
      <c r="J12" s="12"/>
    </row>
    <row r="13" spans="2:10" ht="27" customHeight="1" thickBot="1" x14ac:dyDescent="0.2">
      <c r="B13" s="8" t="s">
        <v>121</v>
      </c>
      <c r="C13" s="265"/>
      <c r="D13" s="266"/>
      <c r="E13" s="266"/>
      <c r="F13" s="266"/>
      <c r="G13" s="266"/>
      <c r="H13" s="267"/>
      <c r="I13" s="76" t="str">
        <f>IF(C13="","",LEN(C13)&amp;"/120　文字")</f>
        <v/>
      </c>
    </row>
    <row r="14" spans="2:10" ht="27" customHeight="1" thickBot="1" x14ac:dyDescent="0.2">
      <c r="B14" s="17" t="s">
        <v>134</v>
      </c>
      <c r="C14" s="268"/>
      <c r="D14" s="269"/>
      <c r="E14" s="269"/>
      <c r="F14" s="269"/>
      <c r="G14" s="269"/>
      <c r="H14" s="270"/>
      <c r="I14" s="9"/>
    </row>
    <row r="15" spans="2:10" ht="27" customHeight="1" thickBot="1" x14ac:dyDescent="0.2">
      <c r="B15" s="25" t="str">
        <f>IF(B16="","",VLOOKUP(B16,I18:J20,2,FALSE))</f>
        <v/>
      </c>
      <c r="C15" s="268"/>
      <c r="D15" s="269"/>
      <c r="E15" s="269"/>
      <c r="F15" s="269"/>
      <c r="G15" s="269"/>
      <c r="H15" s="270"/>
      <c r="I15" s="123" t="str">
        <f>IF(AND(B16&gt;=2,C13=""),"特記事項は記入していますか？","")</f>
        <v/>
      </c>
      <c r="J15" s="12"/>
    </row>
    <row r="16" spans="2:10" ht="23.1" customHeight="1" thickBot="1" x14ac:dyDescent="0.2">
      <c r="B16" s="275"/>
      <c r="C16" s="268"/>
      <c r="D16" s="269"/>
      <c r="E16" s="269"/>
      <c r="F16" s="269"/>
      <c r="G16" s="269"/>
      <c r="H16" s="270"/>
      <c r="I16" s="285"/>
      <c r="J16" s="285"/>
    </row>
    <row r="17" spans="2:10" ht="23.1" customHeight="1" thickBot="1" x14ac:dyDescent="0.2">
      <c r="B17" s="276"/>
      <c r="C17" s="268"/>
      <c r="D17" s="269"/>
      <c r="E17" s="269"/>
      <c r="F17" s="269"/>
      <c r="G17" s="269"/>
      <c r="H17" s="270"/>
      <c r="I17" s="6"/>
      <c r="J17" s="6"/>
    </row>
    <row r="18" spans="2:10" ht="23.1" customHeight="1" thickBot="1" x14ac:dyDescent="0.2">
      <c r="B18" s="276"/>
      <c r="C18" s="268"/>
      <c r="D18" s="269"/>
      <c r="E18" s="269"/>
      <c r="F18" s="269"/>
      <c r="G18" s="269"/>
      <c r="H18" s="270"/>
      <c r="I18" s="9">
        <v>1</v>
      </c>
      <c r="J18" s="9" t="s">
        <v>146</v>
      </c>
    </row>
    <row r="19" spans="2:10" ht="23.1" customHeight="1" thickBot="1" x14ac:dyDescent="0.2">
      <c r="B19" s="276"/>
      <c r="C19" s="268"/>
      <c r="D19" s="269"/>
      <c r="E19" s="269"/>
      <c r="F19" s="269"/>
      <c r="G19" s="269"/>
      <c r="H19" s="270"/>
      <c r="I19" s="9">
        <v>2</v>
      </c>
      <c r="J19" s="9" t="s">
        <v>147</v>
      </c>
    </row>
    <row r="20" spans="2:10" ht="23.1" customHeight="1" thickBot="1" x14ac:dyDescent="0.2">
      <c r="B20" s="277"/>
      <c r="C20" s="271"/>
      <c r="D20" s="272"/>
      <c r="E20" s="272"/>
      <c r="F20" s="272"/>
      <c r="G20" s="272"/>
      <c r="H20" s="273"/>
      <c r="I20" s="9">
        <v>3</v>
      </c>
      <c r="J20" s="9" t="s">
        <v>148</v>
      </c>
    </row>
    <row r="21" spans="2:10" ht="20.100000000000001" customHeight="1" thickBot="1" x14ac:dyDescent="0.2"/>
    <row r="22" spans="2:10" ht="27" customHeight="1" thickBot="1" x14ac:dyDescent="0.2">
      <c r="B22" s="8" t="s">
        <v>135</v>
      </c>
      <c r="C22" s="265"/>
      <c r="D22" s="266"/>
      <c r="E22" s="266"/>
      <c r="F22" s="266"/>
      <c r="G22" s="266"/>
      <c r="H22" s="267"/>
      <c r="I22" s="76" t="str">
        <f>IF(C22="","",LEN(C22)&amp;"/120　文字")</f>
        <v/>
      </c>
    </row>
    <row r="23" spans="2:10" ht="27" customHeight="1" thickBot="1" x14ac:dyDescent="0.2">
      <c r="B23" s="19" t="s">
        <v>193</v>
      </c>
      <c r="C23" s="268"/>
      <c r="D23" s="269"/>
      <c r="E23" s="269"/>
      <c r="F23" s="269"/>
      <c r="G23" s="269"/>
      <c r="H23" s="270"/>
      <c r="I23" s="9"/>
    </row>
    <row r="24" spans="2:10" ht="27" customHeight="1" thickBot="1" x14ac:dyDescent="0.2">
      <c r="B24" s="25" t="str">
        <f>IF(B25="","",VLOOKUP(B25,I27:J29,2,FALSE))</f>
        <v/>
      </c>
      <c r="C24" s="268"/>
      <c r="D24" s="269"/>
      <c r="E24" s="269"/>
      <c r="F24" s="269"/>
      <c r="G24" s="269"/>
      <c r="H24" s="270"/>
      <c r="I24" s="123" t="str">
        <f>IF(AND(B25&gt;=2,C22=""),"特記事項は記入していますか？","")</f>
        <v/>
      </c>
      <c r="J24" s="12"/>
    </row>
    <row r="25" spans="2:10" ht="23.1" customHeight="1" thickBot="1" x14ac:dyDescent="0.2">
      <c r="B25" s="275"/>
      <c r="C25" s="268"/>
      <c r="D25" s="269"/>
      <c r="E25" s="269"/>
      <c r="F25" s="269"/>
      <c r="G25" s="269"/>
      <c r="H25" s="270"/>
      <c r="I25" s="285"/>
      <c r="J25" s="285"/>
    </row>
    <row r="26" spans="2:10" ht="23.1" customHeight="1" thickBot="1" x14ac:dyDescent="0.2">
      <c r="B26" s="276"/>
      <c r="C26" s="268"/>
      <c r="D26" s="269"/>
      <c r="E26" s="269"/>
      <c r="F26" s="269"/>
      <c r="G26" s="269"/>
      <c r="H26" s="270"/>
      <c r="I26" s="6"/>
      <c r="J26" s="6"/>
    </row>
    <row r="27" spans="2:10" ht="23.1" customHeight="1" thickBot="1" x14ac:dyDescent="0.2">
      <c r="B27" s="276"/>
      <c r="C27" s="268"/>
      <c r="D27" s="269"/>
      <c r="E27" s="269"/>
      <c r="F27" s="269"/>
      <c r="G27" s="269"/>
      <c r="H27" s="270"/>
      <c r="I27" s="9">
        <v>1</v>
      </c>
      <c r="J27" s="9" t="s">
        <v>146</v>
      </c>
    </row>
    <row r="28" spans="2:10" ht="23.1" customHeight="1" thickBot="1" x14ac:dyDescent="0.2">
      <c r="B28" s="276"/>
      <c r="C28" s="268"/>
      <c r="D28" s="269"/>
      <c r="E28" s="269"/>
      <c r="F28" s="269"/>
      <c r="G28" s="269"/>
      <c r="H28" s="270"/>
      <c r="I28" s="9">
        <v>2</v>
      </c>
      <c r="J28" s="9" t="s">
        <v>147</v>
      </c>
    </row>
    <row r="29" spans="2:10" ht="23.1" customHeight="1" thickBot="1" x14ac:dyDescent="0.2">
      <c r="B29" s="277"/>
      <c r="C29" s="271"/>
      <c r="D29" s="272"/>
      <c r="E29" s="272"/>
      <c r="F29" s="272"/>
      <c r="G29" s="272"/>
      <c r="H29" s="273"/>
      <c r="I29" s="9">
        <v>3</v>
      </c>
      <c r="J29" s="9" t="s">
        <v>148</v>
      </c>
    </row>
    <row r="30" spans="2:10" ht="20.100000000000001" customHeight="1" thickBot="1" x14ac:dyDescent="0.2"/>
    <row r="31" spans="2:10" ht="27" customHeight="1" thickBot="1" x14ac:dyDescent="0.2">
      <c r="B31" s="8" t="s">
        <v>119</v>
      </c>
      <c r="C31" s="265"/>
      <c r="D31" s="266"/>
      <c r="E31" s="266"/>
      <c r="F31" s="266"/>
      <c r="G31" s="266"/>
      <c r="H31" s="267"/>
      <c r="I31" s="76" t="str">
        <f>IF(C31="","",LEN(C31)&amp;"/120　文字")</f>
        <v/>
      </c>
    </row>
    <row r="32" spans="2:10" ht="27" customHeight="1" thickBot="1" x14ac:dyDescent="0.2">
      <c r="B32" s="10" t="s">
        <v>136</v>
      </c>
      <c r="C32" s="268"/>
      <c r="D32" s="269"/>
      <c r="E32" s="269"/>
      <c r="F32" s="269"/>
      <c r="G32" s="269"/>
      <c r="H32" s="270"/>
      <c r="I32" s="9"/>
    </row>
    <row r="33" spans="2:10" ht="27" customHeight="1" thickBot="1" x14ac:dyDescent="0.2">
      <c r="B33" s="25" t="str">
        <f>IF(B34="","",VLOOKUP(B34,I36:J38,2,FALSE))</f>
        <v/>
      </c>
      <c r="C33" s="268"/>
      <c r="D33" s="269"/>
      <c r="E33" s="269"/>
      <c r="F33" s="269"/>
      <c r="G33" s="269"/>
      <c r="H33" s="270"/>
      <c r="I33" s="123" t="str">
        <f>IF(AND(B34&gt;=2,C31=""),"特記事項は記入していますか？","")</f>
        <v/>
      </c>
      <c r="J33" s="12"/>
    </row>
    <row r="34" spans="2:10" ht="23.1" customHeight="1" thickBot="1" x14ac:dyDescent="0.2">
      <c r="B34" s="275"/>
      <c r="C34" s="268"/>
      <c r="D34" s="269"/>
      <c r="E34" s="269"/>
      <c r="F34" s="269"/>
      <c r="G34" s="269"/>
      <c r="H34" s="270"/>
      <c r="I34" s="285"/>
      <c r="J34" s="285"/>
    </row>
    <row r="35" spans="2:10" ht="23.1" customHeight="1" thickBot="1" x14ac:dyDescent="0.2">
      <c r="B35" s="276"/>
      <c r="C35" s="268"/>
      <c r="D35" s="269"/>
      <c r="E35" s="269"/>
      <c r="F35" s="269"/>
      <c r="G35" s="269"/>
      <c r="H35" s="270"/>
      <c r="I35" s="6"/>
      <c r="J35" s="6"/>
    </row>
    <row r="36" spans="2:10" ht="23.1" customHeight="1" thickBot="1" x14ac:dyDescent="0.2">
      <c r="B36" s="276"/>
      <c r="C36" s="268"/>
      <c r="D36" s="269"/>
      <c r="E36" s="269"/>
      <c r="F36" s="269"/>
      <c r="G36" s="269"/>
      <c r="H36" s="270"/>
      <c r="I36" s="9">
        <v>1</v>
      </c>
      <c r="J36" s="9" t="s">
        <v>146</v>
      </c>
    </row>
    <row r="37" spans="2:10" ht="23.1" customHeight="1" thickBot="1" x14ac:dyDescent="0.2">
      <c r="B37" s="276"/>
      <c r="C37" s="268"/>
      <c r="D37" s="269"/>
      <c r="E37" s="269"/>
      <c r="F37" s="269"/>
      <c r="G37" s="269"/>
      <c r="H37" s="270"/>
      <c r="I37" s="9">
        <v>2</v>
      </c>
      <c r="J37" s="9" t="s">
        <v>147</v>
      </c>
    </row>
    <row r="38" spans="2:10" ht="23.1" customHeight="1" thickBot="1" x14ac:dyDescent="0.2">
      <c r="B38" s="277"/>
      <c r="C38" s="271"/>
      <c r="D38" s="272"/>
      <c r="E38" s="272"/>
      <c r="F38" s="272"/>
      <c r="G38" s="272"/>
      <c r="H38" s="273"/>
      <c r="I38" s="9">
        <v>3</v>
      </c>
      <c r="J38" s="9" t="s">
        <v>148</v>
      </c>
    </row>
    <row r="39" spans="2:10" ht="20.100000000000001" customHeight="1" thickBot="1" x14ac:dyDescent="0.2"/>
    <row r="40" spans="2:10" ht="27" customHeight="1" thickBot="1" x14ac:dyDescent="0.2">
      <c r="B40" s="8" t="s">
        <v>122</v>
      </c>
      <c r="C40" s="265"/>
      <c r="D40" s="266"/>
      <c r="E40" s="266"/>
      <c r="F40" s="266"/>
      <c r="G40" s="266"/>
      <c r="H40" s="267"/>
      <c r="I40" s="76" t="str">
        <f>IF(C40="","",LEN(C40)&amp;"/120　文字")</f>
        <v/>
      </c>
    </row>
    <row r="41" spans="2:10" ht="27" customHeight="1" thickBot="1" x14ac:dyDescent="0.2">
      <c r="B41" s="19" t="s">
        <v>194</v>
      </c>
      <c r="C41" s="268"/>
      <c r="D41" s="269"/>
      <c r="E41" s="269"/>
      <c r="F41" s="269"/>
      <c r="G41" s="269"/>
      <c r="H41" s="270"/>
      <c r="I41" s="9"/>
    </row>
    <row r="42" spans="2:10" ht="27" customHeight="1" thickBot="1" x14ac:dyDescent="0.2">
      <c r="B42" s="25" t="str">
        <f>IF(B43="","",VLOOKUP(B43,I45:J47,2,FALSE))</f>
        <v/>
      </c>
      <c r="C42" s="268"/>
      <c r="D42" s="269"/>
      <c r="E42" s="269"/>
      <c r="F42" s="269"/>
      <c r="G42" s="269"/>
      <c r="H42" s="270"/>
      <c r="I42" s="123" t="str">
        <f>IF(AND(B43&gt;=2,C40=""),"特記事項は記入していますか？","")</f>
        <v/>
      </c>
      <c r="J42" s="12"/>
    </row>
    <row r="43" spans="2:10" ht="23.1" customHeight="1" thickBot="1" x14ac:dyDescent="0.2">
      <c r="B43" s="275"/>
      <c r="C43" s="268"/>
      <c r="D43" s="269"/>
      <c r="E43" s="269"/>
      <c r="F43" s="269"/>
      <c r="G43" s="269"/>
      <c r="H43" s="270"/>
      <c r="I43" s="285"/>
      <c r="J43" s="285"/>
    </row>
    <row r="44" spans="2:10" ht="23.1" customHeight="1" thickBot="1" x14ac:dyDescent="0.2">
      <c r="B44" s="276"/>
      <c r="C44" s="268"/>
      <c r="D44" s="269"/>
      <c r="E44" s="269"/>
      <c r="F44" s="269"/>
      <c r="G44" s="269"/>
      <c r="H44" s="270"/>
      <c r="I44" s="6"/>
      <c r="J44" s="6"/>
    </row>
    <row r="45" spans="2:10" ht="23.1" customHeight="1" thickBot="1" x14ac:dyDescent="0.2">
      <c r="B45" s="276"/>
      <c r="C45" s="268"/>
      <c r="D45" s="269"/>
      <c r="E45" s="269"/>
      <c r="F45" s="269"/>
      <c r="G45" s="269"/>
      <c r="H45" s="270"/>
      <c r="I45" s="9">
        <v>1</v>
      </c>
      <c r="J45" s="9" t="s">
        <v>146</v>
      </c>
    </row>
    <row r="46" spans="2:10" ht="23.1" customHeight="1" thickBot="1" x14ac:dyDescent="0.2">
      <c r="B46" s="276"/>
      <c r="C46" s="268"/>
      <c r="D46" s="269"/>
      <c r="E46" s="269"/>
      <c r="F46" s="269"/>
      <c r="G46" s="269"/>
      <c r="H46" s="270"/>
      <c r="I46" s="9">
        <v>2</v>
      </c>
      <c r="J46" s="9" t="s">
        <v>147</v>
      </c>
    </row>
    <row r="47" spans="2:10" ht="23.1" customHeight="1" thickBot="1" x14ac:dyDescent="0.2">
      <c r="B47" s="277"/>
      <c r="C47" s="271"/>
      <c r="D47" s="272"/>
      <c r="E47" s="272"/>
      <c r="F47" s="272"/>
      <c r="G47" s="272"/>
      <c r="H47" s="273"/>
      <c r="I47" s="9">
        <v>3</v>
      </c>
      <c r="J47" s="9" t="s">
        <v>148</v>
      </c>
    </row>
    <row r="48" spans="2:10" ht="20.100000000000001" customHeight="1" thickBot="1" x14ac:dyDescent="0.2"/>
    <row r="49" spans="2:10" ht="27" customHeight="1" thickBot="1" x14ac:dyDescent="0.2">
      <c r="B49" s="8" t="s">
        <v>123</v>
      </c>
      <c r="C49" s="265"/>
      <c r="D49" s="266"/>
      <c r="E49" s="266"/>
      <c r="F49" s="266"/>
      <c r="G49" s="266"/>
      <c r="H49" s="267"/>
      <c r="I49" s="76" t="str">
        <f>IF(C49="","",LEN(C49)&amp;"/120　文字")</f>
        <v/>
      </c>
    </row>
    <row r="50" spans="2:10" ht="27" customHeight="1" thickBot="1" x14ac:dyDescent="0.2">
      <c r="B50" s="19" t="s">
        <v>137</v>
      </c>
      <c r="C50" s="268"/>
      <c r="D50" s="269"/>
      <c r="E50" s="269"/>
      <c r="F50" s="269"/>
      <c r="G50" s="269"/>
      <c r="H50" s="270"/>
      <c r="I50" s="9"/>
    </row>
    <row r="51" spans="2:10" ht="27" customHeight="1" thickBot="1" x14ac:dyDescent="0.2">
      <c r="B51" s="25" t="str">
        <f>IF(B52="","",VLOOKUP(B52,I54:J56,2,FALSE))</f>
        <v/>
      </c>
      <c r="C51" s="268"/>
      <c r="D51" s="269"/>
      <c r="E51" s="269"/>
      <c r="F51" s="269"/>
      <c r="G51" s="269"/>
      <c r="H51" s="270"/>
      <c r="I51" s="123" t="str">
        <f>IF(AND(B52&gt;=2,C49=""),"特記事項は記入していますか？","")</f>
        <v/>
      </c>
      <c r="J51" s="12"/>
    </row>
    <row r="52" spans="2:10" ht="23.1" customHeight="1" thickBot="1" x14ac:dyDescent="0.2">
      <c r="B52" s="275"/>
      <c r="C52" s="268"/>
      <c r="D52" s="269"/>
      <c r="E52" s="269"/>
      <c r="F52" s="269"/>
      <c r="G52" s="269"/>
      <c r="H52" s="270"/>
      <c r="I52" s="285"/>
      <c r="J52" s="285"/>
    </row>
    <row r="53" spans="2:10" ht="23.1" customHeight="1" thickBot="1" x14ac:dyDescent="0.2">
      <c r="B53" s="276"/>
      <c r="C53" s="268"/>
      <c r="D53" s="269"/>
      <c r="E53" s="269"/>
      <c r="F53" s="269"/>
      <c r="G53" s="269"/>
      <c r="H53" s="270"/>
      <c r="I53" s="6"/>
      <c r="J53" s="6"/>
    </row>
    <row r="54" spans="2:10" ht="23.1" customHeight="1" thickBot="1" x14ac:dyDescent="0.2">
      <c r="B54" s="276"/>
      <c r="C54" s="268"/>
      <c r="D54" s="269"/>
      <c r="E54" s="269"/>
      <c r="F54" s="269"/>
      <c r="G54" s="269"/>
      <c r="H54" s="270"/>
      <c r="I54" s="9">
        <v>1</v>
      </c>
      <c r="J54" s="9" t="s">
        <v>146</v>
      </c>
    </row>
    <row r="55" spans="2:10" ht="23.1" customHeight="1" thickBot="1" x14ac:dyDescent="0.2">
      <c r="B55" s="276"/>
      <c r="C55" s="268"/>
      <c r="D55" s="269"/>
      <c r="E55" s="269"/>
      <c r="F55" s="269"/>
      <c r="G55" s="269"/>
      <c r="H55" s="270"/>
      <c r="I55" s="9">
        <v>2</v>
      </c>
      <c r="J55" s="9" t="s">
        <v>147</v>
      </c>
    </row>
    <row r="56" spans="2:10" ht="23.1" customHeight="1" thickBot="1" x14ac:dyDescent="0.2">
      <c r="B56" s="277"/>
      <c r="C56" s="271"/>
      <c r="D56" s="272"/>
      <c r="E56" s="272"/>
      <c r="F56" s="272"/>
      <c r="G56" s="272"/>
      <c r="H56" s="273"/>
      <c r="I56" s="9">
        <v>3</v>
      </c>
      <c r="J56" s="9" t="s">
        <v>148</v>
      </c>
    </row>
    <row r="57" spans="2:10" ht="20.100000000000001" customHeight="1" thickBot="1" x14ac:dyDescent="0.2"/>
    <row r="58" spans="2:10" ht="27" customHeight="1" thickBot="1" x14ac:dyDescent="0.2">
      <c r="B58" s="8" t="s">
        <v>124</v>
      </c>
      <c r="C58" s="265"/>
      <c r="D58" s="266"/>
      <c r="E58" s="266"/>
      <c r="F58" s="266"/>
      <c r="G58" s="266"/>
      <c r="H58" s="267"/>
      <c r="I58" s="76" t="str">
        <f>IF(C58="","",LEN(C58)&amp;"/120　文字")</f>
        <v/>
      </c>
    </row>
    <row r="59" spans="2:10" ht="27" customHeight="1" thickBot="1" x14ac:dyDescent="0.2">
      <c r="B59" s="19" t="s">
        <v>138</v>
      </c>
      <c r="C59" s="268"/>
      <c r="D59" s="269"/>
      <c r="E59" s="269"/>
      <c r="F59" s="269"/>
      <c r="G59" s="269"/>
      <c r="H59" s="270"/>
      <c r="I59" s="9"/>
    </row>
    <row r="60" spans="2:10" ht="27" customHeight="1" thickBot="1" x14ac:dyDescent="0.2">
      <c r="B60" s="25" t="str">
        <f>IF(B61="","",VLOOKUP(B61,I63:J65,2,FALSE))</f>
        <v/>
      </c>
      <c r="C60" s="268"/>
      <c r="D60" s="269"/>
      <c r="E60" s="269"/>
      <c r="F60" s="269"/>
      <c r="G60" s="269"/>
      <c r="H60" s="270"/>
      <c r="I60" s="123" t="str">
        <f>IF(AND(B61&gt;=2,C58=""),"特記事項は記入していますか？","")</f>
        <v/>
      </c>
      <c r="J60" s="12"/>
    </row>
    <row r="61" spans="2:10" ht="23.1" customHeight="1" thickBot="1" x14ac:dyDescent="0.2">
      <c r="B61" s="275"/>
      <c r="C61" s="268"/>
      <c r="D61" s="269"/>
      <c r="E61" s="269"/>
      <c r="F61" s="269"/>
      <c r="G61" s="269"/>
      <c r="H61" s="270"/>
      <c r="I61" s="285"/>
      <c r="J61" s="285"/>
    </row>
    <row r="62" spans="2:10" ht="23.1" customHeight="1" thickBot="1" x14ac:dyDescent="0.2">
      <c r="B62" s="276"/>
      <c r="C62" s="268"/>
      <c r="D62" s="269"/>
      <c r="E62" s="269"/>
      <c r="F62" s="269"/>
      <c r="G62" s="269"/>
      <c r="H62" s="270"/>
      <c r="I62" s="6"/>
      <c r="J62" s="6"/>
    </row>
    <row r="63" spans="2:10" ht="23.1" customHeight="1" thickBot="1" x14ac:dyDescent="0.2">
      <c r="B63" s="276"/>
      <c r="C63" s="268"/>
      <c r="D63" s="269"/>
      <c r="E63" s="269"/>
      <c r="F63" s="269"/>
      <c r="G63" s="269"/>
      <c r="H63" s="270"/>
      <c r="I63" s="9">
        <v>1</v>
      </c>
      <c r="J63" s="9" t="s">
        <v>146</v>
      </c>
    </row>
    <row r="64" spans="2:10" ht="23.1" customHeight="1" thickBot="1" x14ac:dyDescent="0.2">
      <c r="B64" s="276"/>
      <c r="C64" s="268"/>
      <c r="D64" s="269"/>
      <c r="E64" s="269"/>
      <c r="F64" s="269"/>
      <c r="G64" s="269"/>
      <c r="H64" s="270"/>
      <c r="I64" s="9">
        <v>2</v>
      </c>
      <c r="J64" s="9" t="s">
        <v>147</v>
      </c>
    </row>
    <row r="65" spans="2:10" ht="23.1" customHeight="1" thickBot="1" x14ac:dyDescent="0.2">
      <c r="B65" s="277"/>
      <c r="C65" s="271"/>
      <c r="D65" s="272"/>
      <c r="E65" s="272"/>
      <c r="F65" s="272"/>
      <c r="G65" s="272"/>
      <c r="H65" s="273"/>
      <c r="I65" s="9">
        <v>3</v>
      </c>
      <c r="J65" s="9" t="s">
        <v>148</v>
      </c>
    </row>
    <row r="66" spans="2:10" ht="20.100000000000001" customHeight="1" thickBot="1" x14ac:dyDescent="0.2">
      <c r="J66" s="6"/>
    </row>
    <row r="67" spans="2:10" ht="27" customHeight="1" thickBot="1" x14ac:dyDescent="0.2">
      <c r="B67" s="8" t="s">
        <v>125</v>
      </c>
      <c r="C67" s="265"/>
      <c r="D67" s="266"/>
      <c r="E67" s="266"/>
      <c r="F67" s="266"/>
      <c r="G67" s="266"/>
      <c r="H67" s="267"/>
      <c r="I67" s="76" t="str">
        <f>IF(C67="","",LEN(C67)&amp;"/120　文字")</f>
        <v/>
      </c>
    </row>
    <row r="68" spans="2:10" ht="27" customHeight="1" thickBot="1" x14ac:dyDescent="0.2">
      <c r="B68" s="19" t="s">
        <v>139</v>
      </c>
      <c r="C68" s="268"/>
      <c r="D68" s="269"/>
      <c r="E68" s="269"/>
      <c r="F68" s="269"/>
      <c r="G68" s="269"/>
      <c r="H68" s="270"/>
      <c r="I68" s="9"/>
    </row>
    <row r="69" spans="2:10" ht="27" customHeight="1" thickBot="1" x14ac:dyDescent="0.2">
      <c r="B69" s="25" t="str">
        <f>IF(B70="","",VLOOKUP(B70,I72:J74,2,FALSE))</f>
        <v/>
      </c>
      <c r="C69" s="268"/>
      <c r="D69" s="269"/>
      <c r="E69" s="269"/>
      <c r="F69" s="269"/>
      <c r="G69" s="269"/>
      <c r="H69" s="270"/>
      <c r="I69" s="123" t="str">
        <f>IF(AND(B70&gt;=2,C67=""),"特記事項は記入していますか？","")</f>
        <v/>
      </c>
      <c r="J69" s="12"/>
    </row>
    <row r="70" spans="2:10" ht="23.1" customHeight="1" thickBot="1" x14ac:dyDescent="0.2">
      <c r="B70" s="275"/>
      <c r="C70" s="268"/>
      <c r="D70" s="269"/>
      <c r="E70" s="269"/>
      <c r="F70" s="269"/>
      <c r="G70" s="269"/>
      <c r="H70" s="270"/>
      <c r="I70" s="285"/>
      <c r="J70" s="285"/>
    </row>
    <row r="71" spans="2:10" ht="23.1" customHeight="1" thickBot="1" x14ac:dyDescent="0.2">
      <c r="B71" s="276"/>
      <c r="C71" s="268"/>
      <c r="D71" s="269"/>
      <c r="E71" s="269"/>
      <c r="F71" s="269"/>
      <c r="G71" s="269"/>
      <c r="H71" s="270"/>
      <c r="I71" s="6"/>
      <c r="J71" s="6"/>
    </row>
    <row r="72" spans="2:10" ht="23.1" customHeight="1" thickBot="1" x14ac:dyDescent="0.2">
      <c r="B72" s="276"/>
      <c r="C72" s="268"/>
      <c r="D72" s="269"/>
      <c r="E72" s="269"/>
      <c r="F72" s="269"/>
      <c r="G72" s="269"/>
      <c r="H72" s="270"/>
      <c r="I72" s="9">
        <v>1</v>
      </c>
      <c r="J72" s="9" t="s">
        <v>146</v>
      </c>
    </row>
    <row r="73" spans="2:10" ht="23.1" customHeight="1" thickBot="1" x14ac:dyDescent="0.2">
      <c r="B73" s="276"/>
      <c r="C73" s="268"/>
      <c r="D73" s="269"/>
      <c r="E73" s="269"/>
      <c r="F73" s="269"/>
      <c r="G73" s="269"/>
      <c r="H73" s="270"/>
      <c r="I73" s="9">
        <v>2</v>
      </c>
      <c r="J73" s="9" t="s">
        <v>147</v>
      </c>
    </row>
    <row r="74" spans="2:10" ht="23.1" customHeight="1" thickBot="1" x14ac:dyDescent="0.2">
      <c r="B74" s="277"/>
      <c r="C74" s="271"/>
      <c r="D74" s="272"/>
      <c r="E74" s="272"/>
      <c r="F74" s="272"/>
      <c r="G74" s="272"/>
      <c r="H74" s="273"/>
      <c r="I74" s="9">
        <v>3</v>
      </c>
      <c r="J74" s="9" t="s">
        <v>148</v>
      </c>
    </row>
    <row r="75" spans="2:10" ht="20.100000000000001" customHeight="1" thickBot="1" x14ac:dyDescent="0.2"/>
    <row r="76" spans="2:10" ht="27" customHeight="1" thickBot="1" x14ac:dyDescent="0.2">
      <c r="B76" s="8" t="s">
        <v>126</v>
      </c>
      <c r="C76" s="265"/>
      <c r="D76" s="266"/>
      <c r="E76" s="266"/>
      <c r="F76" s="266"/>
      <c r="G76" s="266"/>
      <c r="H76" s="267"/>
      <c r="I76" s="76" t="str">
        <f>IF(C76="","",LEN(C76)&amp;"/120　文字")</f>
        <v/>
      </c>
    </row>
    <row r="77" spans="2:10" ht="27" customHeight="1" thickBot="1" x14ac:dyDescent="0.2">
      <c r="B77" s="17" t="s">
        <v>140</v>
      </c>
      <c r="C77" s="268"/>
      <c r="D77" s="269"/>
      <c r="E77" s="269"/>
      <c r="F77" s="269"/>
      <c r="G77" s="269"/>
      <c r="H77" s="270"/>
      <c r="I77" s="9"/>
    </row>
    <row r="78" spans="2:10" ht="27" customHeight="1" thickBot="1" x14ac:dyDescent="0.2">
      <c r="B78" s="25" t="str">
        <f>IF(B79="","",VLOOKUP(B79,I81:J83,2,FALSE))</f>
        <v/>
      </c>
      <c r="C78" s="268"/>
      <c r="D78" s="269"/>
      <c r="E78" s="269"/>
      <c r="F78" s="269"/>
      <c r="G78" s="269"/>
      <c r="H78" s="270"/>
      <c r="I78" s="123" t="str">
        <f>IF(AND(B79&gt;=2,C76=""),"特記事項は記入していますか？","")</f>
        <v/>
      </c>
      <c r="J78" s="12"/>
    </row>
    <row r="79" spans="2:10" ht="23.1" customHeight="1" thickBot="1" x14ac:dyDescent="0.2">
      <c r="B79" s="275"/>
      <c r="C79" s="268"/>
      <c r="D79" s="269"/>
      <c r="E79" s="269"/>
      <c r="F79" s="269"/>
      <c r="G79" s="269"/>
      <c r="H79" s="270"/>
      <c r="I79" s="285"/>
      <c r="J79" s="285"/>
    </row>
    <row r="80" spans="2:10" ht="23.1" customHeight="1" thickBot="1" x14ac:dyDescent="0.2">
      <c r="B80" s="276"/>
      <c r="C80" s="268"/>
      <c r="D80" s="269"/>
      <c r="E80" s="269"/>
      <c r="F80" s="269"/>
      <c r="G80" s="269"/>
      <c r="H80" s="270"/>
      <c r="I80" s="6"/>
      <c r="J80" s="6"/>
    </row>
    <row r="81" spans="2:10" ht="23.1" customHeight="1" thickBot="1" x14ac:dyDescent="0.2">
      <c r="B81" s="276"/>
      <c r="C81" s="268"/>
      <c r="D81" s="269"/>
      <c r="E81" s="269"/>
      <c r="F81" s="269"/>
      <c r="G81" s="269"/>
      <c r="H81" s="270"/>
      <c r="I81" s="9">
        <v>1</v>
      </c>
      <c r="J81" s="9" t="s">
        <v>146</v>
      </c>
    </row>
    <row r="82" spans="2:10" ht="23.1" customHeight="1" thickBot="1" x14ac:dyDescent="0.2">
      <c r="B82" s="276"/>
      <c r="C82" s="268"/>
      <c r="D82" s="269"/>
      <c r="E82" s="269"/>
      <c r="F82" s="269"/>
      <c r="G82" s="269"/>
      <c r="H82" s="270"/>
      <c r="I82" s="9">
        <v>2</v>
      </c>
      <c r="J82" s="9" t="s">
        <v>147</v>
      </c>
    </row>
    <row r="83" spans="2:10" ht="23.1" customHeight="1" thickBot="1" x14ac:dyDescent="0.2">
      <c r="B83" s="277"/>
      <c r="C83" s="271"/>
      <c r="D83" s="272"/>
      <c r="E83" s="272"/>
      <c r="F83" s="272"/>
      <c r="G83" s="272"/>
      <c r="H83" s="273"/>
      <c r="I83" s="9">
        <v>3</v>
      </c>
      <c r="J83" s="9" t="s">
        <v>148</v>
      </c>
    </row>
    <row r="84" spans="2:10" ht="20.100000000000001" customHeight="1" thickBot="1" x14ac:dyDescent="0.2"/>
    <row r="85" spans="2:10" ht="27" customHeight="1" thickBot="1" x14ac:dyDescent="0.2">
      <c r="B85" s="8" t="s">
        <v>127</v>
      </c>
      <c r="C85" s="265"/>
      <c r="D85" s="266"/>
      <c r="E85" s="266"/>
      <c r="F85" s="266"/>
      <c r="G85" s="266"/>
      <c r="H85" s="267"/>
      <c r="I85" s="76" t="str">
        <f>IF(C85="","",LEN(C85)&amp;"/120　文字")</f>
        <v/>
      </c>
    </row>
    <row r="86" spans="2:10" ht="27" customHeight="1" thickBot="1" x14ac:dyDescent="0.2">
      <c r="B86" s="17" t="s">
        <v>141</v>
      </c>
      <c r="C86" s="268"/>
      <c r="D86" s="269"/>
      <c r="E86" s="269"/>
      <c r="F86" s="269"/>
      <c r="G86" s="269"/>
      <c r="H86" s="270"/>
      <c r="I86" s="9"/>
    </row>
    <row r="87" spans="2:10" ht="27" customHeight="1" thickBot="1" x14ac:dyDescent="0.2">
      <c r="B87" s="25" t="str">
        <f>IF(B88="","",VLOOKUP(B88,I90:J92,2,FALSE))</f>
        <v/>
      </c>
      <c r="C87" s="268"/>
      <c r="D87" s="269"/>
      <c r="E87" s="269"/>
      <c r="F87" s="269"/>
      <c r="G87" s="269"/>
      <c r="H87" s="270"/>
      <c r="I87" s="123" t="str">
        <f>IF(AND(B88&gt;=2,C85=""),"特記事項は記入していますか？","")</f>
        <v/>
      </c>
      <c r="J87" s="12"/>
    </row>
    <row r="88" spans="2:10" ht="23.1" customHeight="1" thickBot="1" x14ac:dyDescent="0.2">
      <c r="B88" s="275"/>
      <c r="C88" s="268"/>
      <c r="D88" s="269"/>
      <c r="E88" s="269"/>
      <c r="F88" s="269"/>
      <c r="G88" s="269"/>
      <c r="H88" s="270"/>
      <c r="I88" s="285"/>
      <c r="J88" s="285"/>
    </row>
    <row r="89" spans="2:10" ht="23.1" customHeight="1" thickBot="1" x14ac:dyDescent="0.2">
      <c r="B89" s="276"/>
      <c r="C89" s="268"/>
      <c r="D89" s="269"/>
      <c r="E89" s="269"/>
      <c r="F89" s="269"/>
      <c r="G89" s="269"/>
      <c r="H89" s="270"/>
      <c r="I89" s="6"/>
      <c r="J89" s="6"/>
    </row>
    <row r="90" spans="2:10" ht="23.1" customHeight="1" thickBot="1" x14ac:dyDescent="0.2">
      <c r="B90" s="276"/>
      <c r="C90" s="268"/>
      <c r="D90" s="269"/>
      <c r="E90" s="269"/>
      <c r="F90" s="269"/>
      <c r="G90" s="269"/>
      <c r="H90" s="270"/>
      <c r="I90" s="9">
        <v>1</v>
      </c>
      <c r="J90" s="9" t="s">
        <v>146</v>
      </c>
    </row>
    <row r="91" spans="2:10" ht="23.1" customHeight="1" thickBot="1" x14ac:dyDescent="0.2">
      <c r="B91" s="276"/>
      <c r="C91" s="268"/>
      <c r="D91" s="269"/>
      <c r="E91" s="269"/>
      <c r="F91" s="269"/>
      <c r="G91" s="269"/>
      <c r="H91" s="270"/>
      <c r="I91" s="9">
        <v>2</v>
      </c>
      <c r="J91" s="9" t="s">
        <v>147</v>
      </c>
    </row>
    <row r="92" spans="2:10" ht="23.1" customHeight="1" thickBot="1" x14ac:dyDescent="0.2">
      <c r="B92" s="277"/>
      <c r="C92" s="271"/>
      <c r="D92" s="272"/>
      <c r="E92" s="272"/>
      <c r="F92" s="272"/>
      <c r="G92" s="272"/>
      <c r="H92" s="273"/>
      <c r="I92" s="9">
        <v>3</v>
      </c>
      <c r="J92" s="9" t="s">
        <v>148</v>
      </c>
    </row>
    <row r="93" spans="2:10" ht="20.100000000000001" customHeight="1" thickBot="1" x14ac:dyDescent="0.2"/>
    <row r="94" spans="2:10" ht="27" customHeight="1" thickBot="1" x14ac:dyDescent="0.2">
      <c r="B94" s="8" t="s">
        <v>128</v>
      </c>
      <c r="C94" s="265"/>
      <c r="D94" s="266"/>
      <c r="E94" s="266"/>
      <c r="F94" s="266"/>
      <c r="G94" s="266"/>
      <c r="H94" s="267"/>
      <c r="I94" s="76" t="str">
        <f>IF(C94="","",LEN(C94)&amp;"/120　文字")</f>
        <v/>
      </c>
    </row>
    <row r="95" spans="2:10" ht="27" customHeight="1" thickBot="1" x14ac:dyDescent="0.2">
      <c r="B95" s="17" t="s">
        <v>142</v>
      </c>
      <c r="C95" s="268"/>
      <c r="D95" s="269"/>
      <c r="E95" s="269"/>
      <c r="F95" s="269"/>
      <c r="G95" s="269"/>
      <c r="H95" s="270"/>
      <c r="I95" s="9"/>
    </row>
    <row r="96" spans="2:10" ht="27" customHeight="1" thickBot="1" x14ac:dyDescent="0.2">
      <c r="B96" s="25" t="str">
        <f>IF(B97="","",VLOOKUP(B97,I99:J101,2,FALSE))</f>
        <v/>
      </c>
      <c r="C96" s="268"/>
      <c r="D96" s="269"/>
      <c r="E96" s="269"/>
      <c r="F96" s="269"/>
      <c r="G96" s="269"/>
      <c r="H96" s="270"/>
      <c r="I96" s="123" t="str">
        <f>IF(AND(B97&gt;=2,C94=""),"特記事項は記入していますか？","")</f>
        <v/>
      </c>
      <c r="J96" s="12"/>
    </row>
    <row r="97" spans="2:10" ht="23.1" customHeight="1" thickBot="1" x14ac:dyDescent="0.2">
      <c r="B97" s="275"/>
      <c r="C97" s="268"/>
      <c r="D97" s="269"/>
      <c r="E97" s="269"/>
      <c r="F97" s="269"/>
      <c r="G97" s="269"/>
      <c r="H97" s="270"/>
      <c r="I97" s="285"/>
      <c r="J97" s="285"/>
    </row>
    <row r="98" spans="2:10" ht="23.1" customHeight="1" thickBot="1" x14ac:dyDescent="0.2">
      <c r="B98" s="276"/>
      <c r="C98" s="268"/>
      <c r="D98" s="269"/>
      <c r="E98" s="269"/>
      <c r="F98" s="269"/>
      <c r="G98" s="269"/>
      <c r="H98" s="270"/>
      <c r="I98" s="6"/>
      <c r="J98" s="6"/>
    </row>
    <row r="99" spans="2:10" ht="23.1" customHeight="1" thickBot="1" x14ac:dyDescent="0.2">
      <c r="B99" s="276"/>
      <c r="C99" s="268"/>
      <c r="D99" s="269"/>
      <c r="E99" s="269"/>
      <c r="F99" s="269"/>
      <c r="G99" s="269"/>
      <c r="H99" s="270"/>
      <c r="I99" s="9">
        <v>1</v>
      </c>
      <c r="J99" s="9" t="s">
        <v>146</v>
      </c>
    </row>
    <row r="100" spans="2:10" ht="23.1" customHeight="1" thickBot="1" x14ac:dyDescent="0.2">
      <c r="B100" s="276"/>
      <c r="C100" s="268"/>
      <c r="D100" s="269"/>
      <c r="E100" s="269"/>
      <c r="F100" s="269"/>
      <c r="G100" s="269"/>
      <c r="H100" s="270"/>
      <c r="I100" s="9">
        <v>2</v>
      </c>
      <c r="J100" s="9" t="s">
        <v>147</v>
      </c>
    </row>
    <row r="101" spans="2:10" ht="23.1" customHeight="1" thickBot="1" x14ac:dyDescent="0.2">
      <c r="B101" s="277"/>
      <c r="C101" s="271"/>
      <c r="D101" s="272"/>
      <c r="E101" s="272"/>
      <c r="F101" s="272"/>
      <c r="G101" s="272"/>
      <c r="H101" s="273"/>
      <c r="I101" s="9">
        <v>3</v>
      </c>
      <c r="J101" s="9" t="s">
        <v>148</v>
      </c>
    </row>
    <row r="102" spans="2:10" ht="20.100000000000001" customHeight="1" thickBot="1" x14ac:dyDescent="0.2"/>
    <row r="103" spans="2:10" ht="27" customHeight="1" thickBot="1" x14ac:dyDescent="0.2">
      <c r="B103" s="8" t="s">
        <v>129</v>
      </c>
      <c r="C103" s="265"/>
      <c r="D103" s="266"/>
      <c r="E103" s="266"/>
      <c r="F103" s="266"/>
      <c r="G103" s="266"/>
      <c r="H103" s="267"/>
      <c r="I103" s="76" t="str">
        <f>IF(C103="","",LEN(C103)&amp;"/120　文字")</f>
        <v/>
      </c>
    </row>
    <row r="104" spans="2:10" ht="27" customHeight="1" thickBot="1" x14ac:dyDescent="0.2">
      <c r="B104" s="19" t="s">
        <v>195</v>
      </c>
      <c r="C104" s="268"/>
      <c r="D104" s="269"/>
      <c r="E104" s="269"/>
      <c r="F104" s="269"/>
      <c r="G104" s="269"/>
      <c r="H104" s="270"/>
      <c r="I104" s="9"/>
    </row>
    <row r="105" spans="2:10" ht="27" customHeight="1" thickBot="1" x14ac:dyDescent="0.2">
      <c r="B105" s="25" t="str">
        <f>IF(B106="","",VLOOKUP(B106,I108:J110,2,FALSE))</f>
        <v/>
      </c>
      <c r="C105" s="268"/>
      <c r="D105" s="269"/>
      <c r="E105" s="269"/>
      <c r="F105" s="269"/>
      <c r="G105" s="269"/>
      <c r="H105" s="270"/>
      <c r="I105" s="123" t="str">
        <f>IF(AND(B106&gt;=2,C103=""),"特記事項は記入していますか？","")</f>
        <v/>
      </c>
      <c r="J105" s="12"/>
    </row>
    <row r="106" spans="2:10" ht="23.1" customHeight="1" thickBot="1" x14ac:dyDescent="0.2">
      <c r="B106" s="275"/>
      <c r="C106" s="268"/>
      <c r="D106" s="269"/>
      <c r="E106" s="269"/>
      <c r="F106" s="269"/>
      <c r="G106" s="269"/>
      <c r="H106" s="270"/>
      <c r="I106" s="285"/>
      <c r="J106" s="285"/>
    </row>
    <row r="107" spans="2:10" ht="23.1" customHeight="1" thickBot="1" x14ac:dyDescent="0.2">
      <c r="B107" s="276"/>
      <c r="C107" s="268"/>
      <c r="D107" s="269"/>
      <c r="E107" s="269"/>
      <c r="F107" s="269"/>
      <c r="G107" s="269"/>
      <c r="H107" s="270"/>
      <c r="I107" s="6"/>
      <c r="J107" s="6"/>
    </row>
    <row r="108" spans="2:10" ht="23.1" customHeight="1" thickBot="1" x14ac:dyDescent="0.2">
      <c r="B108" s="276"/>
      <c r="C108" s="268"/>
      <c r="D108" s="269"/>
      <c r="E108" s="269"/>
      <c r="F108" s="269"/>
      <c r="G108" s="269"/>
      <c r="H108" s="270"/>
      <c r="I108" s="9">
        <v>1</v>
      </c>
      <c r="J108" s="9" t="s">
        <v>146</v>
      </c>
    </row>
    <row r="109" spans="2:10" ht="23.1" customHeight="1" thickBot="1" x14ac:dyDescent="0.2">
      <c r="B109" s="276"/>
      <c r="C109" s="268"/>
      <c r="D109" s="269"/>
      <c r="E109" s="269"/>
      <c r="F109" s="269"/>
      <c r="G109" s="269"/>
      <c r="H109" s="270"/>
      <c r="I109" s="9">
        <v>2</v>
      </c>
      <c r="J109" s="9" t="s">
        <v>147</v>
      </c>
    </row>
    <row r="110" spans="2:10" ht="23.1" customHeight="1" thickBot="1" x14ac:dyDescent="0.2">
      <c r="B110" s="277"/>
      <c r="C110" s="271"/>
      <c r="D110" s="272"/>
      <c r="E110" s="272"/>
      <c r="F110" s="272"/>
      <c r="G110" s="272"/>
      <c r="H110" s="273"/>
      <c r="I110" s="9">
        <v>3</v>
      </c>
      <c r="J110" s="9" t="s">
        <v>148</v>
      </c>
    </row>
    <row r="111" spans="2:10" ht="20.100000000000001" customHeight="1" thickBot="1" x14ac:dyDescent="0.2"/>
    <row r="112" spans="2:10" ht="27" customHeight="1" thickBot="1" x14ac:dyDescent="0.2">
      <c r="B112" s="8" t="s">
        <v>130</v>
      </c>
      <c r="C112" s="265"/>
      <c r="D112" s="266"/>
      <c r="E112" s="266"/>
      <c r="F112" s="266"/>
      <c r="G112" s="266"/>
      <c r="H112" s="267"/>
      <c r="I112" s="76" t="str">
        <f>IF(C112="","",LEN(C112)&amp;"/120　文字")</f>
        <v/>
      </c>
    </row>
    <row r="113" spans="2:10" ht="27" customHeight="1" thickBot="1" x14ac:dyDescent="0.2">
      <c r="B113" s="17" t="s">
        <v>143</v>
      </c>
      <c r="C113" s="268"/>
      <c r="D113" s="269"/>
      <c r="E113" s="269"/>
      <c r="F113" s="269"/>
      <c r="G113" s="269"/>
      <c r="H113" s="270"/>
      <c r="I113" s="9"/>
    </row>
    <row r="114" spans="2:10" ht="27" customHeight="1" thickBot="1" x14ac:dyDescent="0.2">
      <c r="B114" s="25" t="str">
        <f>IF(B115="","",VLOOKUP(B115,I117:J119,2,FALSE))</f>
        <v/>
      </c>
      <c r="C114" s="268"/>
      <c r="D114" s="269"/>
      <c r="E114" s="269"/>
      <c r="F114" s="269"/>
      <c r="G114" s="269"/>
      <c r="H114" s="270"/>
      <c r="I114" s="123" t="str">
        <f>IF(AND(B115&gt;=2,C112=""),"特記事項は記入していますか？","")</f>
        <v/>
      </c>
      <c r="J114" s="12"/>
    </row>
    <row r="115" spans="2:10" ht="23.1" customHeight="1" thickBot="1" x14ac:dyDescent="0.2">
      <c r="B115" s="275"/>
      <c r="C115" s="268"/>
      <c r="D115" s="269"/>
      <c r="E115" s="269"/>
      <c r="F115" s="269"/>
      <c r="G115" s="269"/>
      <c r="H115" s="270"/>
      <c r="I115" s="285"/>
      <c r="J115" s="285"/>
    </row>
    <row r="116" spans="2:10" ht="23.1" customHeight="1" thickBot="1" x14ac:dyDescent="0.2">
      <c r="B116" s="276"/>
      <c r="C116" s="268"/>
      <c r="D116" s="269"/>
      <c r="E116" s="269"/>
      <c r="F116" s="269"/>
      <c r="G116" s="269"/>
      <c r="H116" s="270"/>
      <c r="I116" s="6"/>
      <c r="J116" s="6"/>
    </row>
    <row r="117" spans="2:10" ht="23.1" customHeight="1" thickBot="1" x14ac:dyDescent="0.2">
      <c r="B117" s="276"/>
      <c r="C117" s="268"/>
      <c r="D117" s="269"/>
      <c r="E117" s="269"/>
      <c r="F117" s="269"/>
      <c r="G117" s="269"/>
      <c r="H117" s="270"/>
      <c r="I117" s="9">
        <v>1</v>
      </c>
      <c r="J117" s="9" t="s">
        <v>146</v>
      </c>
    </row>
    <row r="118" spans="2:10" ht="23.1" customHeight="1" thickBot="1" x14ac:dyDescent="0.2">
      <c r="B118" s="276"/>
      <c r="C118" s="268"/>
      <c r="D118" s="269"/>
      <c r="E118" s="269"/>
      <c r="F118" s="269"/>
      <c r="G118" s="269"/>
      <c r="H118" s="270"/>
      <c r="I118" s="9">
        <v>2</v>
      </c>
      <c r="J118" s="9" t="s">
        <v>147</v>
      </c>
    </row>
    <row r="119" spans="2:10" ht="23.1" customHeight="1" thickBot="1" x14ac:dyDescent="0.2">
      <c r="B119" s="277"/>
      <c r="C119" s="271"/>
      <c r="D119" s="272"/>
      <c r="E119" s="272"/>
      <c r="F119" s="272"/>
      <c r="G119" s="272"/>
      <c r="H119" s="273"/>
      <c r="I119" s="9">
        <v>3</v>
      </c>
      <c r="J119" s="9" t="s">
        <v>148</v>
      </c>
    </row>
    <row r="120" spans="2:10" ht="20.100000000000001" customHeight="1" thickBot="1" x14ac:dyDescent="0.2"/>
    <row r="121" spans="2:10" ht="27" customHeight="1" thickBot="1" x14ac:dyDescent="0.2">
      <c r="B121" s="8" t="s">
        <v>131</v>
      </c>
      <c r="C121" s="265"/>
      <c r="D121" s="266"/>
      <c r="E121" s="266"/>
      <c r="F121" s="266"/>
      <c r="G121" s="266"/>
      <c r="H121" s="267"/>
      <c r="I121" s="76" t="str">
        <f>IF(C121="","",LEN(C121)&amp;"/120　文字")</f>
        <v/>
      </c>
    </row>
    <row r="122" spans="2:10" ht="27" customHeight="1" thickBot="1" x14ac:dyDescent="0.2">
      <c r="B122" s="160" t="s">
        <v>144</v>
      </c>
      <c r="C122" s="268"/>
      <c r="D122" s="269"/>
      <c r="E122" s="269"/>
      <c r="F122" s="269"/>
      <c r="G122" s="269"/>
      <c r="H122" s="270"/>
      <c r="I122" s="9"/>
    </row>
    <row r="123" spans="2:10" ht="27" customHeight="1" thickBot="1" x14ac:dyDescent="0.2">
      <c r="B123" s="25" t="str">
        <f>IF(B124="","",VLOOKUP(B124,I126:J128,2,FALSE))</f>
        <v/>
      </c>
      <c r="C123" s="268"/>
      <c r="D123" s="269"/>
      <c r="E123" s="269"/>
      <c r="F123" s="269"/>
      <c r="G123" s="269"/>
      <c r="H123" s="270"/>
      <c r="I123" s="123" t="str">
        <f>IF(AND(B124&gt;=2,C121=""),"特記事項は記入していますか？","")</f>
        <v/>
      </c>
      <c r="J123" s="12"/>
    </row>
    <row r="124" spans="2:10" ht="23.1" customHeight="1" thickBot="1" x14ac:dyDescent="0.2">
      <c r="B124" s="275"/>
      <c r="C124" s="268"/>
      <c r="D124" s="269"/>
      <c r="E124" s="269"/>
      <c r="F124" s="269"/>
      <c r="G124" s="269"/>
      <c r="H124" s="270"/>
      <c r="I124" s="285"/>
      <c r="J124" s="285"/>
    </row>
    <row r="125" spans="2:10" ht="23.1" customHeight="1" thickBot="1" x14ac:dyDescent="0.2">
      <c r="B125" s="276"/>
      <c r="C125" s="268"/>
      <c r="D125" s="269"/>
      <c r="E125" s="269"/>
      <c r="F125" s="269"/>
      <c r="G125" s="269"/>
      <c r="H125" s="270"/>
      <c r="I125" s="6"/>
      <c r="J125" s="6"/>
    </row>
    <row r="126" spans="2:10" ht="23.1" customHeight="1" thickBot="1" x14ac:dyDescent="0.2">
      <c r="B126" s="276"/>
      <c r="C126" s="268"/>
      <c r="D126" s="269"/>
      <c r="E126" s="269"/>
      <c r="F126" s="269"/>
      <c r="G126" s="269"/>
      <c r="H126" s="270"/>
      <c r="I126" s="9">
        <v>1</v>
      </c>
      <c r="J126" s="9" t="s">
        <v>146</v>
      </c>
    </row>
    <row r="127" spans="2:10" ht="23.1" customHeight="1" thickBot="1" x14ac:dyDescent="0.2">
      <c r="B127" s="276"/>
      <c r="C127" s="268"/>
      <c r="D127" s="269"/>
      <c r="E127" s="269"/>
      <c r="F127" s="269"/>
      <c r="G127" s="269"/>
      <c r="H127" s="270"/>
      <c r="I127" s="9">
        <v>2</v>
      </c>
      <c r="J127" s="9" t="s">
        <v>147</v>
      </c>
    </row>
    <row r="128" spans="2:10" ht="23.1" customHeight="1" thickBot="1" x14ac:dyDescent="0.2">
      <c r="B128" s="277"/>
      <c r="C128" s="271"/>
      <c r="D128" s="272"/>
      <c r="E128" s="272"/>
      <c r="F128" s="272"/>
      <c r="G128" s="272"/>
      <c r="H128" s="273"/>
      <c r="I128" s="9">
        <v>3</v>
      </c>
      <c r="J128" s="9" t="s">
        <v>148</v>
      </c>
    </row>
    <row r="129" spans="2:10" ht="20.100000000000001" customHeight="1" thickBot="1" x14ac:dyDescent="0.2"/>
    <row r="130" spans="2:10" ht="27" customHeight="1" thickBot="1" x14ac:dyDescent="0.2">
      <c r="B130" s="8" t="s">
        <v>132</v>
      </c>
      <c r="C130" s="265"/>
      <c r="D130" s="266"/>
      <c r="E130" s="266"/>
      <c r="F130" s="266"/>
      <c r="G130" s="266"/>
      <c r="H130" s="267"/>
      <c r="I130" s="76" t="str">
        <f>IF(C130="","",LEN(C130)&amp;"/120　文字")</f>
        <v/>
      </c>
    </row>
    <row r="131" spans="2:10" ht="27" customHeight="1" thickBot="1" x14ac:dyDescent="0.2">
      <c r="B131" s="17" t="s">
        <v>145</v>
      </c>
      <c r="C131" s="268"/>
      <c r="D131" s="269"/>
      <c r="E131" s="269"/>
      <c r="F131" s="269"/>
      <c r="G131" s="269"/>
      <c r="H131" s="270"/>
      <c r="I131" s="9"/>
    </row>
    <row r="132" spans="2:10" ht="27" customHeight="1" thickBot="1" x14ac:dyDescent="0.2">
      <c r="B132" s="25" t="str">
        <f>IF(B133="","",VLOOKUP(B133,I135:J137,2,FALSE))</f>
        <v/>
      </c>
      <c r="C132" s="268"/>
      <c r="D132" s="269"/>
      <c r="E132" s="269"/>
      <c r="F132" s="269"/>
      <c r="G132" s="269"/>
      <c r="H132" s="270"/>
      <c r="I132" s="123" t="str">
        <f>IF(AND(B133&gt;=2,C130=""),"特記事項は記入していますか？","")</f>
        <v/>
      </c>
      <c r="J132" s="12"/>
    </row>
    <row r="133" spans="2:10" ht="23.1" customHeight="1" thickBot="1" x14ac:dyDescent="0.2">
      <c r="B133" s="275"/>
      <c r="C133" s="268"/>
      <c r="D133" s="269"/>
      <c r="E133" s="269"/>
      <c r="F133" s="269"/>
      <c r="G133" s="269"/>
      <c r="H133" s="270"/>
      <c r="I133" s="285"/>
      <c r="J133" s="285"/>
    </row>
    <row r="134" spans="2:10" ht="23.1" customHeight="1" thickBot="1" x14ac:dyDescent="0.2">
      <c r="B134" s="276"/>
      <c r="C134" s="268"/>
      <c r="D134" s="269"/>
      <c r="E134" s="269"/>
      <c r="F134" s="269"/>
      <c r="G134" s="269"/>
      <c r="H134" s="270"/>
      <c r="I134" s="6"/>
      <c r="J134" s="6"/>
    </row>
    <row r="135" spans="2:10" ht="23.1" customHeight="1" thickBot="1" x14ac:dyDescent="0.2">
      <c r="B135" s="276"/>
      <c r="C135" s="268"/>
      <c r="D135" s="269"/>
      <c r="E135" s="269"/>
      <c r="F135" s="269"/>
      <c r="G135" s="269"/>
      <c r="H135" s="270"/>
      <c r="I135" s="9">
        <v>1</v>
      </c>
      <c r="J135" s="9" t="s">
        <v>146</v>
      </c>
    </row>
    <row r="136" spans="2:10" ht="23.1" customHeight="1" thickBot="1" x14ac:dyDescent="0.2">
      <c r="B136" s="276"/>
      <c r="C136" s="268"/>
      <c r="D136" s="269"/>
      <c r="E136" s="269"/>
      <c r="F136" s="269"/>
      <c r="G136" s="269"/>
      <c r="H136" s="270"/>
      <c r="I136" s="9">
        <v>2</v>
      </c>
      <c r="J136" s="9" t="s">
        <v>147</v>
      </c>
    </row>
    <row r="137" spans="2:10" ht="23.1" customHeight="1" thickBot="1" x14ac:dyDescent="0.2">
      <c r="B137" s="277"/>
      <c r="C137" s="271"/>
      <c r="D137" s="272"/>
      <c r="E137" s="272"/>
      <c r="F137" s="272"/>
      <c r="G137" s="272"/>
      <c r="H137" s="273"/>
      <c r="I137" s="9">
        <v>3</v>
      </c>
      <c r="J137" s="9" t="s">
        <v>148</v>
      </c>
    </row>
  </sheetData>
  <sheetProtection password="C7C4" sheet="1" objects="1" scenarios="1" selectLockedCells="1"/>
  <mergeCells count="49">
    <mergeCell ref="I88:J88"/>
    <mergeCell ref="I97:J97"/>
    <mergeCell ref="I106:J106"/>
    <mergeCell ref="I115:J115"/>
    <mergeCell ref="I124:J124"/>
    <mergeCell ref="I133:J133"/>
    <mergeCell ref="C130:H137"/>
    <mergeCell ref="B133:B137"/>
    <mergeCell ref="I16:J16"/>
    <mergeCell ref="I25:J25"/>
    <mergeCell ref="I34:J34"/>
    <mergeCell ref="I43:J43"/>
    <mergeCell ref="I52:J52"/>
    <mergeCell ref="I61:J61"/>
    <mergeCell ref="I70:J70"/>
    <mergeCell ref="I79:J79"/>
    <mergeCell ref="C103:H110"/>
    <mergeCell ref="B106:B110"/>
    <mergeCell ref="C112:H119"/>
    <mergeCell ref="B115:B119"/>
    <mergeCell ref="C121:H128"/>
    <mergeCell ref="B124:B128"/>
    <mergeCell ref="C76:H83"/>
    <mergeCell ref="B79:B83"/>
    <mergeCell ref="C85:H92"/>
    <mergeCell ref="B88:B92"/>
    <mergeCell ref="C94:H101"/>
    <mergeCell ref="B97:B101"/>
    <mergeCell ref="C49:H56"/>
    <mergeCell ref="B52:B56"/>
    <mergeCell ref="C58:H65"/>
    <mergeCell ref="B61:B65"/>
    <mergeCell ref="C67:H74"/>
    <mergeCell ref="B70:B74"/>
    <mergeCell ref="C22:H29"/>
    <mergeCell ref="B25:B29"/>
    <mergeCell ref="C31:H38"/>
    <mergeCell ref="B34:B38"/>
    <mergeCell ref="C40:H47"/>
    <mergeCell ref="B43:B47"/>
    <mergeCell ref="C1:H1"/>
    <mergeCell ref="C4:H11"/>
    <mergeCell ref="B7:B11"/>
    <mergeCell ref="I7:J7"/>
    <mergeCell ref="C13:H20"/>
    <mergeCell ref="B16:B20"/>
    <mergeCell ref="C2:D3"/>
    <mergeCell ref="E2:F3"/>
    <mergeCell ref="G2:H3"/>
  </mergeCells>
  <phoneticPr fontId="1"/>
  <conditionalFormatting sqref="B7:B11 B16:B20 B25:B29 B34:B38 B43:B47 B52:B56 B61:B65 B70:B74 B79:B83 B88:B92 B97:B101 B106:B110 B115:B119 B124:B128 B133:B137">
    <cfRule type="cellIs" dxfId="18" priority="7" operator="lessThan">
      <formula>1</formula>
    </cfRule>
  </conditionalFormatting>
  <dataValidations count="2">
    <dataValidation type="whole" imeMode="halfAlpha" allowBlank="1" showInputMessage="1" showErrorMessage="1" sqref="B133:B137 B124:B128 B115:B119 B106:B110 B97:B101 B88:B92 B79:B83 B70:B74 B61:B65 B52:B56 B43:B47 B34:B38 B25:B29 B16:B20 B7:B11" xr:uid="{00000000-0002-0000-0400-000000000000}">
      <formula1>1</formula1>
      <formula2>3</formula2>
    </dataValidation>
    <dataValidation type="textLength" imeMode="hiragana" operator="lessThanOrEqual" allowBlank="1" showInputMessage="1" showErrorMessage="1" sqref="C130:H137 C4:H11 C13:H20 C22:H29 C31:H38 C40:H47 C49:H56 C58:H65 C67:H74 C76:H83 C85:H92 C94:H101 C103:H110 C112:H119 C121:H128" xr:uid="{00000000-0002-0000-0400-000001000000}">
      <formula1>120</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66"/>
  </sheetPr>
  <dimension ref="B1:M57"/>
  <sheetViews>
    <sheetView zoomScaleNormal="100" workbookViewId="0">
      <pane ySplit="3" topLeftCell="A4" activePane="bottomLeft" state="frozen"/>
      <selection activeCell="W45" sqref="W45:AB52"/>
      <selection pane="bottomLeft" activeCell="B52" sqref="B52:B56"/>
    </sheetView>
  </sheetViews>
  <sheetFormatPr defaultColWidth="9" defaultRowHeight="13.5" x14ac:dyDescent="0.15"/>
  <cols>
    <col min="1" max="1" width="2" style="6" customWidth="1"/>
    <col min="2" max="2" width="10.625" style="6" customWidth="1"/>
    <col min="3" max="8" width="9" style="6"/>
    <col min="9" max="9" width="2.375" style="5" bestFit="1" customWidth="1"/>
    <col min="10" max="13" width="9" style="5"/>
    <col min="14" max="16384" width="9" style="6"/>
  </cols>
  <sheetData>
    <row r="1" spans="2:10" ht="21" x14ac:dyDescent="0.15">
      <c r="B1" s="18"/>
      <c r="C1" s="278" t="s">
        <v>150</v>
      </c>
      <c r="D1" s="278"/>
      <c r="E1" s="278"/>
      <c r="F1" s="278"/>
      <c r="G1" s="278"/>
      <c r="H1" s="278"/>
    </row>
    <row r="2" spans="2:10" x14ac:dyDescent="0.15">
      <c r="C2" s="281">
        <f>基本情報!$B$2</f>
        <v>0</v>
      </c>
      <c r="D2" s="281"/>
      <c r="E2" s="279">
        <f>基本情報!$B$3</f>
        <v>0</v>
      </c>
      <c r="F2" s="279"/>
      <c r="G2" s="283" t="str">
        <f>IF(計算シート!$M$78=0,"",計算シート!$M$78&amp;"/74　特記入力済み")</f>
        <v/>
      </c>
      <c r="H2" s="283"/>
    </row>
    <row r="3" spans="2:10" ht="14.25" thickBot="1" x14ac:dyDescent="0.2">
      <c r="B3" s="7"/>
      <c r="C3" s="282"/>
      <c r="D3" s="282"/>
      <c r="E3" s="280"/>
      <c r="F3" s="280"/>
      <c r="G3" s="284"/>
      <c r="H3" s="284"/>
    </row>
    <row r="4" spans="2:10" ht="27" customHeight="1" thickBot="1" x14ac:dyDescent="0.2">
      <c r="B4" s="8" t="s">
        <v>151</v>
      </c>
      <c r="C4" s="265"/>
      <c r="D4" s="266"/>
      <c r="E4" s="266"/>
      <c r="F4" s="266"/>
      <c r="G4" s="266"/>
      <c r="H4" s="267"/>
      <c r="I4" s="76" t="str">
        <f>IF(C4="","",LEN(C4)&amp;"/120　文字")</f>
        <v/>
      </c>
    </row>
    <row r="5" spans="2:10" ht="27" customHeight="1" thickBot="1" x14ac:dyDescent="0.2">
      <c r="B5" s="10" t="s">
        <v>157</v>
      </c>
      <c r="C5" s="268"/>
      <c r="D5" s="269"/>
      <c r="E5" s="269"/>
      <c r="F5" s="269"/>
      <c r="G5" s="269"/>
      <c r="H5" s="270"/>
      <c r="I5" s="9"/>
    </row>
    <row r="6" spans="2:10" ht="27" customHeight="1" thickBot="1" x14ac:dyDescent="0.2">
      <c r="B6" s="26" t="str">
        <f>IF(B7="","",VLOOKUP(B7,I9:J11,2,FALSE))</f>
        <v/>
      </c>
      <c r="C6" s="268"/>
      <c r="D6" s="269"/>
      <c r="E6" s="269"/>
      <c r="F6" s="269"/>
      <c r="G6" s="269"/>
      <c r="H6" s="270"/>
      <c r="I6" s="179" t="str">
        <f>IF(AND(B7&gt;=2,C4=""),"特記事項は記入していますか？","")</f>
        <v/>
      </c>
      <c r="J6" s="12"/>
    </row>
    <row r="7" spans="2:10" ht="23.1" customHeight="1" thickBot="1" x14ac:dyDescent="0.2">
      <c r="B7" s="275"/>
      <c r="C7" s="268"/>
      <c r="D7" s="269"/>
      <c r="E7" s="269"/>
      <c r="F7" s="269"/>
      <c r="G7" s="269"/>
      <c r="H7" s="270"/>
      <c r="I7" s="285"/>
      <c r="J7" s="285"/>
    </row>
    <row r="8" spans="2:10" ht="23.1" customHeight="1" thickBot="1" x14ac:dyDescent="0.2">
      <c r="B8" s="276"/>
      <c r="C8" s="268"/>
      <c r="D8" s="269"/>
      <c r="E8" s="269"/>
      <c r="F8" s="269"/>
      <c r="G8" s="269"/>
      <c r="H8" s="270"/>
      <c r="I8" s="6"/>
      <c r="J8" s="6"/>
    </row>
    <row r="9" spans="2:10" ht="23.1" customHeight="1" thickBot="1" x14ac:dyDescent="0.2">
      <c r="B9" s="276"/>
      <c r="C9" s="268"/>
      <c r="D9" s="269"/>
      <c r="E9" s="269"/>
      <c r="F9" s="269"/>
      <c r="G9" s="269"/>
      <c r="H9" s="270"/>
      <c r="I9" s="9">
        <v>1</v>
      </c>
      <c r="J9" s="9" t="s">
        <v>90</v>
      </c>
    </row>
    <row r="10" spans="2:10" ht="23.1" customHeight="1" thickBot="1" x14ac:dyDescent="0.2">
      <c r="B10" s="276"/>
      <c r="C10" s="268"/>
      <c r="D10" s="269"/>
      <c r="E10" s="269"/>
      <c r="F10" s="269"/>
      <c r="G10" s="269"/>
      <c r="H10" s="270"/>
      <c r="I10" s="9">
        <v>2</v>
      </c>
      <c r="J10" s="9" t="s">
        <v>53</v>
      </c>
    </row>
    <row r="11" spans="2:10" ht="23.1" customHeight="1" thickBot="1" x14ac:dyDescent="0.2">
      <c r="B11" s="277"/>
      <c r="C11" s="271"/>
      <c r="D11" s="272"/>
      <c r="E11" s="272"/>
      <c r="F11" s="272"/>
      <c r="G11" s="272"/>
      <c r="H11" s="273"/>
      <c r="I11" s="9">
        <v>3</v>
      </c>
      <c r="J11" s="9" t="s">
        <v>54</v>
      </c>
    </row>
    <row r="12" spans="2:10" ht="20.100000000000001" customHeight="1" thickBot="1" x14ac:dyDescent="0.2">
      <c r="I12" s="12"/>
      <c r="J12" s="12"/>
    </row>
    <row r="13" spans="2:10" ht="27" customHeight="1" thickBot="1" x14ac:dyDescent="0.2">
      <c r="B13" s="8" t="s">
        <v>152</v>
      </c>
      <c r="C13" s="265"/>
      <c r="D13" s="266"/>
      <c r="E13" s="266"/>
      <c r="F13" s="266"/>
      <c r="G13" s="266"/>
      <c r="H13" s="267"/>
      <c r="I13" s="76" t="str">
        <f>IF(C13="","",LEN(C13)&amp;"/120　文字")</f>
        <v/>
      </c>
    </row>
    <row r="14" spans="2:10" ht="27" customHeight="1" thickBot="1" x14ac:dyDescent="0.2">
      <c r="B14" s="19" t="s">
        <v>158</v>
      </c>
      <c r="C14" s="268"/>
      <c r="D14" s="269"/>
      <c r="E14" s="269"/>
      <c r="F14" s="269"/>
      <c r="G14" s="269"/>
      <c r="H14" s="270"/>
      <c r="I14" s="9"/>
    </row>
    <row r="15" spans="2:10" ht="27" customHeight="1" thickBot="1" x14ac:dyDescent="0.2">
      <c r="B15" s="26" t="str">
        <f>IF(B16="","",VLOOKUP(B16,I18:J20,2,FALSE))</f>
        <v/>
      </c>
      <c r="C15" s="268"/>
      <c r="D15" s="269"/>
      <c r="E15" s="269"/>
      <c r="F15" s="269"/>
      <c r="G15" s="269"/>
      <c r="H15" s="270"/>
      <c r="I15" s="179" t="str">
        <f>IF(AND(B16&gt;=2,C13=""),"特記事項は記入していますか？","")</f>
        <v/>
      </c>
      <c r="J15" s="12"/>
    </row>
    <row r="16" spans="2:10" ht="23.1" customHeight="1" thickBot="1" x14ac:dyDescent="0.2">
      <c r="B16" s="275"/>
      <c r="C16" s="268"/>
      <c r="D16" s="269"/>
      <c r="E16" s="269"/>
      <c r="F16" s="269"/>
      <c r="G16" s="269"/>
      <c r="H16" s="270"/>
      <c r="I16" s="285"/>
      <c r="J16" s="285"/>
    </row>
    <row r="17" spans="2:10" ht="23.1" customHeight="1" thickBot="1" x14ac:dyDescent="0.2">
      <c r="B17" s="276"/>
      <c r="C17" s="268"/>
      <c r="D17" s="269"/>
      <c r="E17" s="269"/>
      <c r="F17" s="269"/>
      <c r="G17" s="269"/>
      <c r="H17" s="270"/>
      <c r="I17" s="6"/>
      <c r="J17" s="6"/>
    </row>
    <row r="18" spans="2:10" ht="23.1" customHeight="1" thickBot="1" x14ac:dyDescent="0.2">
      <c r="B18" s="276"/>
      <c r="C18" s="268"/>
      <c r="D18" s="269"/>
      <c r="E18" s="269"/>
      <c r="F18" s="269"/>
      <c r="G18" s="269"/>
      <c r="H18" s="270"/>
      <c r="I18" s="9">
        <v>1</v>
      </c>
      <c r="J18" s="9" t="s">
        <v>90</v>
      </c>
    </row>
    <row r="19" spans="2:10" ht="23.1" customHeight="1" thickBot="1" x14ac:dyDescent="0.2">
      <c r="B19" s="276"/>
      <c r="C19" s="268"/>
      <c r="D19" s="269"/>
      <c r="E19" s="269"/>
      <c r="F19" s="269"/>
      <c r="G19" s="269"/>
      <c r="H19" s="270"/>
      <c r="I19" s="9">
        <v>2</v>
      </c>
      <c r="J19" s="9" t="s">
        <v>53</v>
      </c>
    </row>
    <row r="20" spans="2:10" ht="23.1" customHeight="1" thickBot="1" x14ac:dyDescent="0.2">
      <c r="B20" s="277"/>
      <c r="C20" s="271"/>
      <c r="D20" s="272"/>
      <c r="E20" s="272"/>
      <c r="F20" s="272"/>
      <c r="G20" s="272"/>
      <c r="H20" s="273"/>
      <c r="I20" s="9">
        <v>3</v>
      </c>
      <c r="J20" s="9" t="s">
        <v>54</v>
      </c>
    </row>
    <row r="21" spans="2:10" ht="20.100000000000001" customHeight="1" thickBot="1" x14ac:dyDescent="0.2"/>
    <row r="22" spans="2:10" ht="27" customHeight="1" thickBot="1" x14ac:dyDescent="0.2">
      <c r="B22" s="8" t="s">
        <v>153</v>
      </c>
      <c r="C22" s="265"/>
      <c r="D22" s="266"/>
      <c r="E22" s="266"/>
      <c r="F22" s="266"/>
      <c r="G22" s="266"/>
      <c r="H22" s="267"/>
      <c r="I22" s="76" t="str">
        <f>IF(C22="","",LEN(C22)&amp;"/120　文字")</f>
        <v/>
      </c>
    </row>
    <row r="23" spans="2:10" ht="27" customHeight="1" thickBot="1" x14ac:dyDescent="0.2">
      <c r="B23" s="17" t="s">
        <v>159</v>
      </c>
      <c r="C23" s="268"/>
      <c r="D23" s="269"/>
      <c r="E23" s="269"/>
      <c r="F23" s="269"/>
      <c r="G23" s="269"/>
      <c r="H23" s="270"/>
      <c r="I23" s="179" t="str">
        <f>IF(AND(B25&gt;=2,C22=""),"特記事項は記入していますか？","")</f>
        <v/>
      </c>
    </row>
    <row r="24" spans="2:10" ht="27" customHeight="1" thickBot="1" x14ac:dyDescent="0.2">
      <c r="B24" s="25" t="str">
        <f>IF(B25="","",VLOOKUP(B25,I26:J29,2,FALSE))</f>
        <v/>
      </c>
      <c r="C24" s="268"/>
      <c r="D24" s="269"/>
      <c r="E24" s="269"/>
      <c r="F24" s="269"/>
      <c r="G24" s="269"/>
      <c r="H24" s="270"/>
      <c r="I24" s="11"/>
      <c r="J24" s="12"/>
    </row>
    <row r="25" spans="2:10" ht="23.1" customHeight="1" thickBot="1" x14ac:dyDescent="0.2">
      <c r="B25" s="275"/>
      <c r="C25" s="268"/>
      <c r="D25" s="269"/>
      <c r="E25" s="269"/>
      <c r="F25" s="269"/>
      <c r="G25" s="269"/>
      <c r="H25" s="270"/>
      <c r="I25" s="285"/>
      <c r="J25" s="285"/>
    </row>
    <row r="26" spans="2:10" ht="23.1" customHeight="1" thickBot="1" x14ac:dyDescent="0.2">
      <c r="B26" s="276"/>
      <c r="C26" s="268"/>
      <c r="D26" s="269"/>
      <c r="E26" s="269"/>
      <c r="F26" s="269"/>
      <c r="G26" s="269"/>
      <c r="H26" s="270"/>
      <c r="I26" s="9">
        <v>1</v>
      </c>
      <c r="J26" s="9" t="s">
        <v>49</v>
      </c>
    </row>
    <row r="27" spans="2:10" ht="23.1" customHeight="1" thickBot="1" x14ac:dyDescent="0.2">
      <c r="B27" s="276"/>
      <c r="C27" s="268"/>
      <c r="D27" s="269"/>
      <c r="E27" s="269"/>
      <c r="F27" s="269"/>
      <c r="G27" s="269"/>
      <c r="H27" s="270"/>
      <c r="I27" s="9">
        <v>2</v>
      </c>
      <c r="J27" s="9" t="s">
        <v>163</v>
      </c>
    </row>
    <row r="28" spans="2:10" ht="23.1" customHeight="1" thickBot="1" x14ac:dyDescent="0.2">
      <c r="B28" s="276"/>
      <c r="C28" s="268"/>
      <c r="D28" s="269"/>
      <c r="E28" s="269"/>
      <c r="F28" s="269"/>
      <c r="G28" s="269"/>
      <c r="H28" s="270"/>
      <c r="I28" s="9">
        <v>3</v>
      </c>
      <c r="J28" s="9" t="s">
        <v>164</v>
      </c>
    </row>
    <row r="29" spans="2:10" ht="23.1" customHeight="1" thickBot="1" x14ac:dyDescent="0.2">
      <c r="B29" s="277"/>
      <c r="C29" s="271"/>
      <c r="D29" s="272"/>
      <c r="E29" s="272"/>
      <c r="F29" s="272"/>
      <c r="G29" s="272"/>
      <c r="H29" s="273"/>
      <c r="I29" s="9">
        <v>4</v>
      </c>
      <c r="J29" s="9" t="s">
        <v>165</v>
      </c>
    </row>
    <row r="30" spans="2:10" ht="20.100000000000001" customHeight="1" thickBot="1" x14ac:dyDescent="0.2"/>
    <row r="31" spans="2:10" ht="27" customHeight="1" thickBot="1" x14ac:dyDescent="0.2">
      <c r="B31" s="8" t="s">
        <v>156</v>
      </c>
      <c r="C31" s="265"/>
      <c r="D31" s="266"/>
      <c r="E31" s="266"/>
      <c r="F31" s="266"/>
      <c r="G31" s="266"/>
      <c r="H31" s="267"/>
      <c r="I31" s="76" t="str">
        <f>IF(C31="","",LEN(C31)&amp;"/120　文字")</f>
        <v/>
      </c>
    </row>
    <row r="32" spans="2:10" ht="27" customHeight="1" thickBot="1" x14ac:dyDescent="0.2">
      <c r="B32" s="17" t="s">
        <v>160</v>
      </c>
      <c r="C32" s="268"/>
      <c r="D32" s="269"/>
      <c r="E32" s="269"/>
      <c r="F32" s="269"/>
      <c r="G32" s="269"/>
      <c r="H32" s="270"/>
      <c r="I32" s="179" t="str">
        <f>IF(AND(B34&gt;=2,C31=""),"特記事項は記入していますか？","")</f>
        <v/>
      </c>
    </row>
    <row r="33" spans="2:10" ht="27" customHeight="1" thickBot="1" x14ac:dyDescent="0.2">
      <c r="B33" s="26" t="str">
        <f>IF(B34="","",VLOOKUP(B34,I36:J38,2,FALSE))</f>
        <v/>
      </c>
      <c r="C33" s="268"/>
      <c r="D33" s="269"/>
      <c r="E33" s="269"/>
      <c r="F33" s="269"/>
      <c r="G33" s="269"/>
      <c r="H33" s="270"/>
      <c r="I33" s="11"/>
      <c r="J33" s="12"/>
    </row>
    <row r="34" spans="2:10" ht="23.1" customHeight="1" thickBot="1" x14ac:dyDescent="0.2">
      <c r="B34" s="275"/>
      <c r="C34" s="268"/>
      <c r="D34" s="269"/>
      <c r="E34" s="269"/>
      <c r="F34" s="269"/>
      <c r="G34" s="269"/>
      <c r="H34" s="270"/>
      <c r="I34" s="285"/>
      <c r="J34" s="285"/>
    </row>
    <row r="35" spans="2:10" ht="23.1" customHeight="1" thickBot="1" x14ac:dyDescent="0.2">
      <c r="B35" s="276"/>
      <c r="C35" s="268"/>
      <c r="D35" s="269"/>
      <c r="E35" s="269"/>
      <c r="F35" s="269"/>
      <c r="G35" s="269"/>
      <c r="H35" s="270"/>
      <c r="I35" s="6"/>
      <c r="J35" s="6"/>
    </row>
    <row r="36" spans="2:10" ht="23.1" customHeight="1" thickBot="1" x14ac:dyDescent="0.2">
      <c r="B36" s="276"/>
      <c r="C36" s="268"/>
      <c r="D36" s="269"/>
      <c r="E36" s="269"/>
      <c r="F36" s="269"/>
      <c r="G36" s="269"/>
      <c r="H36" s="270"/>
      <c r="I36" s="9">
        <v>1</v>
      </c>
      <c r="J36" s="9" t="s">
        <v>146</v>
      </c>
    </row>
    <row r="37" spans="2:10" ht="23.1" customHeight="1" thickBot="1" x14ac:dyDescent="0.2">
      <c r="B37" s="276"/>
      <c r="C37" s="268"/>
      <c r="D37" s="269"/>
      <c r="E37" s="269"/>
      <c r="F37" s="269"/>
      <c r="G37" s="269"/>
      <c r="H37" s="270"/>
      <c r="I37" s="9">
        <v>2</v>
      </c>
      <c r="J37" s="9" t="s">
        <v>147</v>
      </c>
    </row>
    <row r="38" spans="2:10" ht="23.1" customHeight="1" thickBot="1" x14ac:dyDescent="0.2">
      <c r="B38" s="277"/>
      <c r="C38" s="271"/>
      <c r="D38" s="272"/>
      <c r="E38" s="272"/>
      <c r="F38" s="272"/>
      <c r="G38" s="272"/>
      <c r="H38" s="273"/>
      <c r="I38" s="9">
        <v>3</v>
      </c>
      <c r="J38" s="9" t="s">
        <v>148</v>
      </c>
    </row>
    <row r="39" spans="2:10" ht="20.100000000000001" customHeight="1" thickBot="1" x14ac:dyDescent="0.2"/>
    <row r="40" spans="2:10" ht="27" customHeight="1" thickBot="1" x14ac:dyDescent="0.2">
      <c r="B40" s="8" t="s">
        <v>154</v>
      </c>
      <c r="C40" s="265"/>
      <c r="D40" s="266"/>
      <c r="E40" s="266"/>
      <c r="F40" s="266"/>
      <c r="G40" s="266"/>
      <c r="H40" s="267"/>
      <c r="I40" s="76" t="str">
        <f>IF(C40="","",LEN(C40)&amp;"/120　文字")</f>
        <v/>
      </c>
    </row>
    <row r="41" spans="2:10" ht="27" customHeight="1" thickBot="1" x14ac:dyDescent="0.2">
      <c r="B41" s="17" t="s">
        <v>161</v>
      </c>
      <c r="C41" s="268"/>
      <c r="D41" s="269"/>
      <c r="E41" s="269"/>
      <c r="F41" s="269"/>
      <c r="G41" s="269"/>
      <c r="H41" s="270"/>
      <c r="I41" s="179" t="str">
        <f>IF(AND(B43&gt;=2,C40=""),"特記事項は記入していますか？","")</f>
        <v/>
      </c>
    </row>
    <row r="42" spans="2:10" ht="27" customHeight="1" thickBot="1" x14ac:dyDescent="0.2">
      <c r="B42" s="26" t="str">
        <f>IF(B43="","",VLOOKUP(B43,I44:J47,2,FALSE))</f>
        <v/>
      </c>
      <c r="C42" s="268"/>
      <c r="D42" s="269"/>
      <c r="E42" s="269"/>
      <c r="F42" s="269"/>
      <c r="G42" s="269"/>
      <c r="H42" s="270"/>
      <c r="I42" s="11"/>
      <c r="J42" s="12"/>
    </row>
    <row r="43" spans="2:10" ht="23.1" customHeight="1" thickBot="1" x14ac:dyDescent="0.2">
      <c r="B43" s="275"/>
      <c r="C43" s="268"/>
      <c r="D43" s="269"/>
      <c r="E43" s="269"/>
      <c r="F43" s="269"/>
      <c r="G43" s="269"/>
      <c r="H43" s="270"/>
      <c r="I43" s="285"/>
      <c r="J43" s="285"/>
    </row>
    <row r="44" spans="2:10" ht="23.1" customHeight="1" thickBot="1" x14ac:dyDescent="0.2">
      <c r="B44" s="276"/>
      <c r="C44" s="268"/>
      <c r="D44" s="269"/>
      <c r="E44" s="269"/>
      <c r="F44" s="269"/>
      <c r="G44" s="269"/>
      <c r="H44" s="270"/>
      <c r="I44" s="9">
        <v>1</v>
      </c>
      <c r="J44" s="9" t="s">
        <v>90</v>
      </c>
    </row>
    <row r="45" spans="2:10" ht="23.1" customHeight="1" thickBot="1" x14ac:dyDescent="0.2">
      <c r="B45" s="276"/>
      <c r="C45" s="268"/>
      <c r="D45" s="269"/>
      <c r="E45" s="269"/>
      <c r="F45" s="269"/>
      <c r="G45" s="269"/>
      <c r="H45" s="270"/>
      <c r="I45" s="9">
        <v>2</v>
      </c>
      <c r="J45" s="9" t="s">
        <v>89</v>
      </c>
    </row>
    <row r="46" spans="2:10" ht="23.1" customHeight="1" thickBot="1" x14ac:dyDescent="0.2">
      <c r="B46" s="276"/>
      <c r="C46" s="268"/>
      <c r="D46" s="269"/>
      <c r="E46" s="269"/>
      <c r="F46" s="269"/>
      <c r="G46" s="269"/>
      <c r="H46" s="270"/>
      <c r="I46" s="9">
        <v>3</v>
      </c>
      <c r="J46" s="9" t="s">
        <v>53</v>
      </c>
    </row>
    <row r="47" spans="2:10" ht="23.1" customHeight="1" thickBot="1" x14ac:dyDescent="0.2">
      <c r="B47" s="277"/>
      <c r="C47" s="271"/>
      <c r="D47" s="272"/>
      <c r="E47" s="272"/>
      <c r="F47" s="272"/>
      <c r="G47" s="272"/>
      <c r="H47" s="273"/>
      <c r="I47" s="9">
        <v>4</v>
      </c>
      <c r="J47" s="9" t="s">
        <v>54</v>
      </c>
    </row>
    <row r="48" spans="2:10" ht="20.100000000000001" customHeight="1" thickBot="1" x14ac:dyDescent="0.2"/>
    <row r="49" spans="2:10" ht="27" customHeight="1" thickBot="1" x14ac:dyDescent="0.2">
      <c r="B49" s="8" t="s">
        <v>155</v>
      </c>
      <c r="C49" s="265"/>
      <c r="D49" s="266"/>
      <c r="E49" s="266"/>
      <c r="F49" s="266"/>
      <c r="G49" s="266"/>
      <c r="H49" s="267"/>
      <c r="I49" s="76" t="str">
        <f>IF(C49="","",LEN(C49)&amp;"/120　文字")</f>
        <v/>
      </c>
    </row>
    <row r="50" spans="2:10" ht="27" customHeight="1" thickBot="1" x14ac:dyDescent="0.2">
      <c r="B50" s="19" t="s">
        <v>162</v>
      </c>
      <c r="C50" s="268"/>
      <c r="D50" s="269"/>
      <c r="E50" s="269"/>
      <c r="F50" s="269"/>
      <c r="G50" s="269"/>
      <c r="H50" s="270"/>
      <c r="I50" s="179" t="str">
        <f>IF(AND(B52&gt;=2,C49=""),"特記事項は記入していますか？","")</f>
        <v/>
      </c>
    </row>
    <row r="51" spans="2:10" ht="27" customHeight="1" thickBot="1" x14ac:dyDescent="0.2">
      <c r="B51" s="26" t="str">
        <f>IF(B52="","",VLOOKUP(B52,I53:J56,2,FALSE))</f>
        <v/>
      </c>
      <c r="C51" s="268"/>
      <c r="D51" s="269"/>
      <c r="E51" s="269"/>
      <c r="F51" s="269"/>
      <c r="G51" s="269"/>
      <c r="H51" s="270"/>
      <c r="I51" s="11"/>
      <c r="J51" s="12"/>
    </row>
    <row r="52" spans="2:10" ht="23.1" customHeight="1" thickBot="1" x14ac:dyDescent="0.2">
      <c r="B52" s="275"/>
      <c r="C52" s="268"/>
      <c r="D52" s="269"/>
      <c r="E52" s="269"/>
      <c r="F52" s="269"/>
      <c r="G52" s="269"/>
      <c r="H52" s="270"/>
      <c r="I52" s="285"/>
      <c r="J52" s="285"/>
    </row>
    <row r="53" spans="2:10" ht="23.1" customHeight="1" thickBot="1" x14ac:dyDescent="0.2">
      <c r="B53" s="276"/>
      <c r="C53" s="268"/>
      <c r="D53" s="269"/>
      <c r="E53" s="269"/>
      <c r="F53" s="269"/>
      <c r="G53" s="269"/>
      <c r="H53" s="270"/>
      <c r="I53" s="9">
        <v>1</v>
      </c>
      <c r="J53" s="9" t="s">
        <v>90</v>
      </c>
    </row>
    <row r="54" spans="2:10" ht="23.1" customHeight="1" thickBot="1" x14ac:dyDescent="0.2">
      <c r="B54" s="276"/>
      <c r="C54" s="268"/>
      <c r="D54" s="269"/>
      <c r="E54" s="269"/>
      <c r="F54" s="269"/>
      <c r="G54" s="269"/>
      <c r="H54" s="270"/>
      <c r="I54" s="9">
        <v>2</v>
      </c>
      <c r="J54" s="9" t="s">
        <v>89</v>
      </c>
    </row>
    <row r="55" spans="2:10" ht="23.1" customHeight="1" thickBot="1" x14ac:dyDescent="0.2">
      <c r="B55" s="276"/>
      <c r="C55" s="268"/>
      <c r="D55" s="269"/>
      <c r="E55" s="269"/>
      <c r="F55" s="269"/>
      <c r="G55" s="269"/>
      <c r="H55" s="270"/>
      <c r="I55" s="9">
        <v>3</v>
      </c>
      <c r="J55" s="9" t="s">
        <v>53</v>
      </c>
    </row>
    <row r="56" spans="2:10" ht="23.1" customHeight="1" thickBot="1" x14ac:dyDescent="0.2">
      <c r="B56" s="277"/>
      <c r="C56" s="271"/>
      <c r="D56" s="272"/>
      <c r="E56" s="272"/>
      <c r="F56" s="272"/>
      <c r="G56" s="272"/>
      <c r="H56" s="273"/>
      <c r="I56" s="9">
        <v>4</v>
      </c>
      <c r="J56" s="9" t="s">
        <v>54</v>
      </c>
    </row>
    <row r="57" spans="2:10" ht="20.100000000000001" customHeight="1" x14ac:dyDescent="0.15"/>
  </sheetData>
  <sheetProtection password="C7C4" sheet="1" objects="1" scenarios="1" selectLockedCells="1"/>
  <mergeCells count="22">
    <mergeCell ref="C40:H47"/>
    <mergeCell ref="B43:B47"/>
    <mergeCell ref="I43:J43"/>
    <mergeCell ref="C49:H56"/>
    <mergeCell ref="B52:B56"/>
    <mergeCell ref="I52:J52"/>
    <mergeCell ref="C22:H29"/>
    <mergeCell ref="B25:B29"/>
    <mergeCell ref="I25:J25"/>
    <mergeCell ref="C31:H38"/>
    <mergeCell ref="B34:B38"/>
    <mergeCell ref="I34:J34"/>
    <mergeCell ref="C1:H1"/>
    <mergeCell ref="C4:H11"/>
    <mergeCell ref="B7:B11"/>
    <mergeCell ref="I7:J7"/>
    <mergeCell ref="C13:H20"/>
    <mergeCell ref="B16:B20"/>
    <mergeCell ref="I16:J16"/>
    <mergeCell ref="C2:D3"/>
    <mergeCell ref="E2:F3"/>
    <mergeCell ref="G2:H3"/>
  </mergeCells>
  <phoneticPr fontId="1"/>
  <conditionalFormatting sqref="B7:B11 B16:B20 B25:B29 B34:B38 B43:B47 B52:B56">
    <cfRule type="cellIs" dxfId="17" priority="1" operator="lessThan">
      <formula>1</formula>
    </cfRule>
  </conditionalFormatting>
  <dataValidations count="3">
    <dataValidation type="whole" imeMode="halfAlpha" allowBlank="1" showInputMessage="1" showErrorMessage="1" sqref="B52:B56 B43:B47 B25:B29" xr:uid="{00000000-0002-0000-0500-000000000000}">
      <formula1>1</formula1>
      <formula2>4</formula2>
    </dataValidation>
    <dataValidation type="whole" imeMode="halfAlpha" allowBlank="1" showInputMessage="1" showErrorMessage="1" sqref="B34:B38 B16:B20 B7:B11" xr:uid="{00000000-0002-0000-0500-000001000000}">
      <formula1>1</formula1>
      <formula2>3</formula2>
    </dataValidation>
    <dataValidation type="textLength" imeMode="hiragana" operator="lessThanOrEqual" allowBlank="1" showInputMessage="1" showErrorMessage="1" sqref="C49:H56 C4:H11 C13:H20 C22:H29 C31:H38 C40:H47" xr:uid="{00000000-0002-0000-0500-000002000000}">
      <formula1>120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66"/>
  </sheetPr>
  <dimension ref="B1:S137"/>
  <sheetViews>
    <sheetView zoomScaleNormal="100" workbookViewId="0">
      <pane ySplit="3" topLeftCell="A4" activePane="bottomLeft" state="frozen"/>
      <selection activeCell="W45" sqref="W45:AB52"/>
      <selection pane="bottomLeft" activeCell="C4" sqref="C4:H11"/>
    </sheetView>
  </sheetViews>
  <sheetFormatPr defaultColWidth="9" defaultRowHeight="13.5" x14ac:dyDescent="0.15"/>
  <cols>
    <col min="1" max="1" width="2" style="6" customWidth="1"/>
    <col min="2" max="2" width="10.625" style="6" customWidth="1"/>
    <col min="3" max="8" width="9" style="6"/>
    <col min="9" max="9" width="2.375" style="5" bestFit="1" customWidth="1"/>
    <col min="10" max="11" width="9" style="5"/>
    <col min="12" max="12" width="10.625" style="5" customWidth="1"/>
    <col min="13" max="16384" width="9" style="6"/>
  </cols>
  <sheetData>
    <row r="1" spans="2:19" ht="21" x14ac:dyDescent="0.15">
      <c r="B1" s="18"/>
      <c r="C1" s="286" t="s">
        <v>166</v>
      </c>
      <c r="D1" s="286"/>
      <c r="E1" s="286"/>
      <c r="F1" s="286"/>
      <c r="G1" s="286"/>
      <c r="H1" s="286"/>
      <c r="M1" s="278" t="s">
        <v>216</v>
      </c>
      <c r="N1" s="278"/>
      <c r="O1" s="278"/>
      <c r="P1" s="278"/>
      <c r="Q1" s="278"/>
      <c r="R1" s="278"/>
    </row>
    <row r="2" spans="2:19" x14ac:dyDescent="0.15">
      <c r="C2" s="281">
        <f>基本情報!$B$2</f>
        <v>0</v>
      </c>
      <c r="D2" s="281"/>
      <c r="E2" s="279">
        <f>基本情報!$B$3</f>
        <v>0</v>
      </c>
      <c r="F2" s="279"/>
      <c r="G2" s="283" t="str">
        <f>IF(計算シート!$M$78=0,"",計算シート!$M$78&amp;"/74　特記入力済み")</f>
        <v/>
      </c>
      <c r="H2" s="283"/>
      <c r="M2" s="281">
        <f>基本情報!$B$2</f>
        <v>0</v>
      </c>
      <c r="N2" s="281"/>
      <c r="O2" s="279">
        <f>基本情報!$B$3</f>
        <v>0</v>
      </c>
      <c r="P2" s="279"/>
      <c r="Q2" s="283" t="str">
        <f>IF(計算シート!$M$78=0,"",計算シート!$M$78&amp;"/74　特記入力済み")</f>
        <v/>
      </c>
      <c r="R2" s="283"/>
    </row>
    <row r="3" spans="2:19" ht="14.25" thickBot="1" x14ac:dyDescent="0.2">
      <c r="B3" s="7"/>
      <c r="C3" s="282"/>
      <c r="D3" s="282"/>
      <c r="E3" s="280"/>
      <c r="F3" s="280"/>
      <c r="G3" s="284"/>
      <c r="H3" s="284"/>
      <c r="M3" s="282"/>
      <c r="N3" s="282"/>
      <c r="O3" s="280"/>
      <c r="P3" s="280"/>
      <c r="Q3" s="284"/>
      <c r="R3" s="284"/>
    </row>
    <row r="4" spans="2:19" ht="27" customHeight="1" thickBot="1" x14ac:dyDescent="0.2">
      <c r="B4" s="8" t="s">
        <v>167</v>
      </c>
      <c r="C4" s="265"/>
      <c r="D4" s="266"/>
      <c r="E4" s="266"/>
      <c r="F4" s="266"/>
      <c r="G4" s="266"/>
      <c r="H4" s="267"/>
      <c r="I4" s="76" t="str">
        <f>IF(C4="","",LEN(C4)&amp;"/120　文字")</f>
        <v/>
      </c>
      <c r="L4" s="8" t="s">
        <v>217</v>
      </c>
      <c r="M4" s="265"/>
      <c r="N4" s="266"/>
      <c r="O4" s="266"/>
      <c r="P4" s="266"/>
      <c r="Q4" s="266"/>
      <c r="R4" s="267"/>
      <c r="S4" s="76" t="str">
        <f>IF(M4="","",LEN(M4)&amp;"/120　文字")</f>
        <v/>
      </c>
    </row>
    <row r="5" spans="2:19" ht="27" customHeight="1" thickBot="1" x14ac:dyDescent="0.2">
      <c r="B5" s="19" t="s">
        <v>179</v>
      </c>
      <c r="C5" s="268"/>
      <c r="D5" s="269"/>
      <c r="E5" s="269"/>
      <c r="F5" s="269"/>
      <c r="G5" s="269"/>
      <c r="H5" s="270"/>
      <c r="I5" s="180" t="str">
        <f>IF(AND(B6="該当あり",C4=""),"特記事項は記入していますか？","")</f>
        <v/>
      </c>
      <c r="L5" s="19" t="s">
        <v>219</v>
      </c>
      <c r="M5" s="268"/>
      <c r="N5" s="269"/>
      <c r="O5" s="269"/>
      <c r="P5" s="269"/>
      <c r="Q5" s="269"/>
      <c r="R5" s="270"/>
      <c r="S5" s="77"/>
    </row>
    <row r="6" spans="2:19" ht="27" customHeight="1" thickBot="1" x14ac:dyDescent="0.2">
      <c r="B6" s="26" t="str">
        <f>IF(計算シート!B15=TRUE,"該当あり","")</f>
        <v/>
      </c>
      <c r="C6" s="268"/>
      <c r="D6" s="269"/>
      <c r="E6" s="269"/>
      <c r="F6" s="269"/>
      <c r="G6" s="269"/>
      <c r="H6" s="270"/>
      <c r="I6" s="11"/>
      <c r="J6" s="12"/>
      <c r="L6" s="33" t="str">
        <f>IF(L7="","",L7)</f>
        <v/>
      </c>
      <c r="M6" s="268"/>
      <c r="N6" s="269"/>
      <c r="O6" s="269"/>
      <c r="P6" s="269"/>
      <c r="Q6" s="269"/>
      <c r="R6" s="270"/>
    </row>
    <row r="7" spans="2:19" ht="23.1" customHeight="1" thickBot="1" x14ac:dyDescent="0.2">
      <c r="B7" s="29"/>
      <c r="C7" s="268"/>
      <c r="D7" s="269"/>
      <c r="E7" s="269"/>
      <c r="F7" s="269"/>
      <c r="G7" s="269"/>
      <c r="H7" s="270"/>
      <c r="I7" s="285"/>
      <c r="J7" s="285"/>
      <c r="L7" s="287"/>
      <c r="M7" s="268"/>
      <c r="N7" s="269"/>
      <c r="O7" s="269"/>
      <c r="P7" s="269"/>
      <c r="Q7" s="269"/>
      <c r="R7" s="270"/>
      <c r="S7" s="78" t="str">
        <f>IF(AND(OR(L6="自立",L6="J1",L6="J2",L6="A1",L6="A2",L6="B1",L6="B2",L6="C1",L6="C2"),M4=""),"特記事項は記入していますか？","")</f>
        <v/>
      </c>
    </row>
    <row r="8" spans="2:19" ht="23.1" customHeight="1" thickBot="1" x14ac:dyDescent="0.2">
      <c r="B8" s="30"/>
      <c r="C8" s="268"/>
      <c r="D8" s="269"/>
      <c r="E8" s="269"/>
      <c r="F8" s="269"/>
      <c r="G8" s="269"/>
      <c r="H8" s="270"/>
      <c r="I8" s="6"/>
      <c r="J8" s="6"/>
      <c r="L8" s="288"/>
      <c r="M8" s="268"/>
      <c r="N8" s="269"/>
      <c r="O8" s="269"/>
      <c r="P8" s="269"/>
      <c r="Q8" s="269"/>
      <c r="R8" s="270"/>
      <c r="S8" s="32" t="str">
        <f>IF($L$7="","",DBCS($L$7))</f>
        <v/>
      </c>
    </row>
    <row r="9" spans="2:19" ht="23.1" customHeight="1" thickBot="1" x14ac:dyDescent="0.2">
      <c r="B9" s="30"/>
      <c r="C9" s="268"/>
      <c r="D9" s="269"/>
      <c r="E9" s="269"/>
      <c r="F9" s="269"/>
      <c r="G9" s="269"/>
      <c r="H9" s="270"/>
      <c r="I9" s="9"/>
      <c r="J9" s="9"/>
      <c r="L9" s="288"/>
      <c r="M9" s="268"/>
      <c r="N9" s="269"/>
      <c r="O9" s="269"/>
      <c r="P9" s="269"/>
      <c r="Q9" s="269"/>
      <c r="R9" s="270"/>
      <c r="S9" s="34" t="str">
        <f>IF($M$4="","",DBCS($M$4))</f>
        <v/>
      </c>
    </row>
    <row r="10" spans="2:19" ht="23.1" customHeight="1" thickBot="1" x14ac:dyDescent="0.2">
      <c r="B10" s="30"/>
      <c r="C10" s="268"/>
      <c r="D10" s="269"/>
      <c r="E10" s="269"/>
      <c r="F10" s="269"/>
      <c r="G10" s="269"/>
      <c r="H10" s="270"/>
      <c r="I10" s="9"/>
      <c r="J10" s="9"/>
      <c r="L10" s="288"/>
      <c r="M10" s="268"/>
      <c r="N10" s="269"/>
      <c r="O10" s="269"/>
      <c r="P10" s="269"/>
      <c r="Q10" s="269"/>
      <c r="R10" s="270"/>
      <c r="S10" s="32">
        <f>IF($L$7="",0,COUNTIF(S9,"*"&amp;S8&amp;"*"))</f>
        <v>0</v>
      </c>
    </row>
    <row r="11" spans="2:19" ht="23.1" customHeight="1" thickBot="1" x14ac:dyDescent="0.2">
      <c r="B11" s="31"/>
      <c r="C11" s="271"/>
      <c r="D11" s="272"/>
      <c r="E11" s="272"/>
      <c r="F11" s="272"/>
      <c r="G11" s="272"/>
      <c r="H11" s="273"/>
      <c r="I11" s="9"/>
      <c r="J11" s="9"/>
      <c r="L11" s="289"/>
      <c r="M11" s="271"/>
      <c r="N11" s="272"/>
      <c r="O11" s="272"/>
      <c r="P11" s="272"/>
      <c r="Q11" s="272"/>
      <c r="R11" s="273"/>
      <c r="S11" s="36" t="str">
        <f>IF(AND(L7&lt;&gt;"",M4&lt;&gt;"",S10=0),"選択と特記内容は一致してますか？","")</f>
        <v/>
      </c>
    </row>
    <row r="12" spans="2:19" s="5" customFormat="1" ht="20.100000000000001" customHeight="1" thickBot="1" x14ac:dyDescent="0.2">
      <c r="B12" s="6"/>
      <c r="C12" s="6"/>
      <c r="D12" s="6"/>
      <c r="E12" s="6"/>
      <c r="F12" s="6"/>
      <c r="G12" s="6"/>
      <c r="H12" s="6"/>
      <c r="I12" s="12"/>
      <c r="J12" s="12"/>
      <c r="M12" s="6"/>
      <c r="N12" s="6"/>
      <c r="O12" s="6"/>
      <c r="P12" s="6"/>
      <c r="Q12" s="6"/>
      <c r="R12" s="6"/>
      <c r="S12" s="12"/>
    </row>
    <row r="13" spans="2:19" s="5" customFormat="1" ht="27" customHeight="1" thickBot="1" x14ac:dyDescent="0.2">
      <c r="B13" s="8" t="s">
        <v>168</v>
      </c>
      <c r="C13" s="265"/>
      <c r="D13" s="266"/>
      <c r="E13" s="266"/>
      <c r="F13" s="266"/>
      <c r="G13" s="266"/>
      <c r="H13" s="267"/>
      <c r="I13" s="76" t="str">
        <f>IF(C13="","",LEN(C13)&amp;"/120　文字")</f>
        <v/>
      </c>
      <c r="L13" s="8" t="s">
        <v>218</v>
      </c>
      <c r="M13" s="265"/>
      <c r="N13" s="266"/>
      <c r="O13" s="266"/>
      <c r="P13" s="266"/>
      <c r="Q13" s="266"/>
      <c r="R13" s="267"/>
      <c r="S13" s="76" t="str">
        <f>IF(M13="","",LEN(M13)&amp;"/120　文字")</f>
        <v/>
      </c>
    </row>
    <row r="14" spans="2:19" s="5" customFormat="1" ht="27" customHeight="1" thickBot="1" x14ac:dyDescent="0.2">
      <c r="B14" s="19" t="s">
        <v>180</v>
      </c>
      <c r="C14" s="268"/>
      <c r="D14" s="269"/>
      <c r="E14" s="269"/>
      <c r="F14" s="269"/>
      <c r="G14" s="269"/>
      <c r="H14" s="270"/>
      <c r="I14" s="9"/>
      <c r="L14" s="19" t="s">
        <v>220</v>
      </c>
      <c r="M14" s="268"/>
      <c r="N14" s="269"/>
      <c r="O14" s="269"/>
      <c r="P14" s="269"/>
      <c r="Q14" s="269"/>
      <c r="R14" s="270"/>
      <c r="S14" s="34" t="str">
        <f>IF(M13="","",DBCS(M13))</f>
        <v/>
      </c>
    </row>
    <row r="15" spans="2:19" s="5" customFormat="1" ht="27" customHeight="1" thickBot="1" x14ac:dyDescent="0.2">
      <c r="B15" s="26" t="str">
        <f>IF(計算シート!B16=TRUE,"該当あり","")</f>
        <v/>
      </c>
      <c r="C15" s="268"/>
      <c r="D15" s="269"/>
      <c r="E15" s="269"/>
      <c r="F15" s="269"/>
      <c r="G15" s="269"/>
      <c r="H15" s="270"/>
      <c r="I15" s="182" t="str">
        <f>IF(AND(B15="該当あり",C13=""),"特記事項は記入していますか？","")</f>
        <v/>
      </c>
      <c r="J15" s="12"/>
      <c r="L15" s="33" t="str">
        <f>IF(L16="","",L16)</f>
        <v/>
      </c>
      <c r="M15" s="268"/>
      <c r="N15" s="269"/>
      <c r="O15" s="269"/>
      <c r="P15" s="269"/>
      <c r="Q15" s="269"/>
      <c r="R15" s="270"/>
      <c r="S15" s="35">
        <f>IF(L16="",0,COUNTIF(S14,"*"&amp;S13&amp;"*"))</f>
        <v>0</v>
      </c>
    </row>
    <row r="16" spans="2:19" s="5" customFormat="1" ht="23.1" customHeight="1" thickBot="1" x14ac:dyDescent="0.2">
      <c r="B16" s="29"/>
      <c r="C16" s="268"/>
      <c r="D16" s="269"/>
      <c r="E16" s="269"/>
      <c r="F16" s="269"/>
      <c r="G16" s="269"/>
      <c r="H16" s="270"/>
      <c r="I16" s="285"/>
      <c r="J16" s="285"/>
      <c r="L16" s="287"/>
      <c r="M16" s="268"/>
      <c r="N16" s="269"/>
      <c r="O16" s="269"/>
      <c r="P16" s="269"/>
      <c r="Q16" s="269"/>
      <c r="R16" s="270"/>
      <c r="S16" s="36" t="str">
        <f>IF(AND(OR(L15="自立",L15="Ⅰ",L15="Ⅱa",L15="Ⅱb",L15="Ⅲa",L15="Ⅳ",L15="M"),M13=""),"特記事項は記入していますか？","")</f>
        <v/>
      </c>
    </row>
    <row r="17" spans="2:19" s="5" customFormat="1" ht="23.1" customHeight="1" thickBot="1" x14ac:dyDescent="0.2">
      <c r="B17" s="30"/>
      <c r="C17" s="268"/>
      <c r="D17" s="269"/>
      <c r="E17" s="269"/>
      <c r="F17" s="269"/>
      <c r="G17" s="269"/>
      <c r="H17" s="270"/>
      <c r="I17" s="6"/>
      <c r="J17" s="6"/>
      <c r="L17" s="288"/>
      <c r="M17" s="268"/>
      <c r="N17" s="269"/>
      <c r="O17" s="269"/>
      <c r="P17" s="269"/>
      <c r="Q17" s="269"/>
      <c r="R17" s="270"/>
      <c r="S17" s="32" t="str">
        <f>IF($L$16="","",DBCS($L$16))</f>
        <v/>
      </c>
    </row>
    <row r="18" spans="2:19" s="5" customFormat="1" ht="23.1" customHeight="1" thickBot="1" x14ac:dyDescent="0.2">
      <c r="B18" s="30"/>
      <c r="C18" s="268"/>
      <c r="D18" s="269"/>
      <c r="E18" s="269"/>
      <c r="F18" s="269"/>
      <c r="G18" s="269"/>
      <c r="H18" s="270"/>
      <c r="I18" s="9"/>
      <c r="J18" s="9"/>
      <c r="L18" s="288"/>
      <c r="M18" s="268"/>
      <c r="N18" s="269"/>
      <c r="O18" s="269"/>
      <c r="P18" s="269"/>
      <c r="Q18" s="269"/>
      <c r="R18" s="270"/>
      <c r="S18" s="34" t="str">
        <f>IF($M$13="","",DBCS($M$13))</f>
        <v/>
      </c>
    </row>
    <row r="19" spans="2:19" s="5" customFormat="1" ht="23.1" customHeight="1" thickBot="1" x14ac:dyDescent="0.2">
      <c r="B19" s="30"/>
      <c r="C19" s="268"/>
      <c r="D19" s="269"/>
      <c r="E19" s="269"/>
      <c r="F19" s="269"/>
      <c r="G19" s="269"/>
      <c r="H19" s="270"/>
      <c r="I19" s="9"/>
      <c r="J19" s="9"/>
      <c r="L19" s="288"/>
      <c r="M19" s="268"/>
      <c r="N19" s="269"/>
      <c r="O19" s="269"/>
      <c r="P19" s="269"/>
      <c r="Q19" s="269"/>
      <c r="R19" s="270"/>
      <c r="S19" s="32">
        <f>IF($L$16="",0,COUNTIF(S18,"*"&amp;S17&amp;"*"))</f>
        <v>0</v>
      </c>
    </row>
    <row r="20" spans="2:19" s="5" customFormat="1" ht="23.1" customHeight="1" thickBot="1" x14ac:dyDescent="0.2">
      <c r="B20" s="31"/>
      <c r="C20" s="271"/>
      <c r="D20" s="272"/>
      <c r="E20" s="272"/>
      <c r="F20" s="272"/>
      <c r="G20" s="272"/>
      <c r="H20" s="273"/>
      <c r="I20" s="9"/>
      <c r="J20" s="9"/>
      <c r="L20" s="289"/>
      <c r="M20" s="271"/>
      <c r="N20" s="272"/>
      <c r="O20" s="272"/>
      <c r="P20" s="272"/>
      <c r="Q20" s="272"/>
      <c r="R20" s="273"/>
      <c r="S20" s="36" t="str">
        <f>IF(AND(L16&lt;&gt;"",M13&lt;&gt;"",S19=0),"選択と特記内容は一致してますか？","")</f>
        <v/>
      </c>
    </row>
    <row r="21" spans="2:19" s="5" customFormat="1" ht="20.100000000000001" customHeight="1" thickBot="1" x14ac:dyDescent="0.2">
      <c r="B21" s="6"/>
      <c r="C21" s="6"/>
      <c r="D21" s="6"/>
      <c r="E21" s="6"/>
      <c r="F21" s="6"/>
      <c r="G21" s="6"/>
      <c r="H21" s="6"/>
      <c r="M21" s="6"/>
      <c r="N21" s="6"/>
      <c r="O21" s="6"/>
      <c r="P21" s="6"/>
      <c r="Q21" s="6"/>
      <c r="R21" s="6"/>
    </row>
    <row r="22" spans="2:19" s="5" customFormat="1" ht="27" customHeight="1" thickBot="1" x14ac:dyDescent="0.2">
      <c r="B22" s="8" t="s">
        <v>169</v>
      </c>
      <c r="C22" s="265"/>
      <c r="D22" s="266"/>
      <c r="E22" s="266"/>
      <c r="F22" s="266"/>
      <c r="G22" s="266"/>
      <c r="H22" s="267"/>
      <c r="I22" s="76" t="str">
        <f>IF(C22="","",LEN(C22)&amp;"/120　文字")</f>
        <v/>
      </c>
      <c r="M22" s="6"/>
      <c r="N22" s="6"/>
      <c r="O22" s="6"/>
      <c r="P22" s="6"/>
      <c r="Q22" s="6"/>
      <c r="R22" s="6"/>
    </row>
    <row r="23" spans="2:19" s="5" customFormat="1" ht="27" customHeight="1" thickBot="1" x14ac:dyDescent="0.2">
      <c r="B23" s="17" t="s">
        <v>181</v>
      </c>
      <c r="C23" s="268"/>
      <c r="D23" s="269"/>
      <c r="E23" s="269"/>
      <c r="F23" s="269"/>
      <c r="G23" s="269"/>
      <c r="H23" s="270"/>
      <c r="I23" s="180" t="str">
        <f>IF(AND(B24="該当あり",C22=""),"特記事項は記入していますか？","")</f>
        <v/>
      </c>
      <c r="M23" s="6"/>
      <c r="N23" s="6"/>
      <c r="O23" s="6"/>
      <c r="P23" s="6"/>
      <c r="Q23" s="6"/>
      <c r="R23" s="6"/>
    </row>
    <row r="24" spans="2:19" s="5" customFormat="1" ht="27" customHeight="1" thickBot="1" x14ac:dyDescent="0.2">
      <c r="B24" s="26" t="str">
        <f>IF(計算シート!B17=TRUE,"該当あり","")</f>
        <v/>
      </c>
      <c r="C24" s="268"/>
      <c r="D24" s="269"/>
      <c r="E24" s="269"/>
      <c r="F24" s="269"/>
      <c r="G24" s="269"/>
      <c r="H24" s="270"/>
      <c r="I24" s="11"/>
      <c r="J24" s="12"/>
      <c r="M24" s="6"/>
      <c r="N24" s="6"/>
      <c r="O24" s="6"/>
      <c r="P24" s="6"/>
      <c r="Q24" s="6"/>
      <c r="R24" s="6"/>
    </row>
    <row r="25" spans="2:19" s="5" customFormat="1" ht="23.1" customHeight="1" thickBot="1" x14ac:dyDescent="0.2">
      <c r="B25" s="29"/>
      <c r="C25" s="268"/>
      <c r="D25" s="269"/>
      <c r="E25" s="269"/>
      <c r="F25" s="269"/>
      <c r="G25" s="269"/>
      <c r="H25" s="270"/>
      <c r="I25" s="285"/>
      <c r="J25" s="285"/>
      <c r="M25" s="6"/>
      <c r="N25" s="6"/>
      <c r="O25" s="6"/>
      <c r="P25" s="6"/>
      <c r="Q25" s="6"/>
      <c r="R25" s="6"/>
    </row>
    <row r="26" spans="2:19" s="5" customFormat="1" ht="23.1" customHeight="1" thickBot="1" x14ac:dyDescent="0.2">
      <c r="B26" s="30"/>
      <c r="C26" s="268"/>
      <c r="D26" s="269"/>
      <c r="E26" s="269"/>
      <c r="F26" s="269"/>
      <c r="G26" s="269"/>
      <c r="H26" s="270"/>
      <c r="I26" s="9"/>
      <c r="J26" s="9"/>
      <c r="M26" s="6"/>
      <c r="N26" s="6"/>
      <c r="O26" s="6"/>
      <c r="P26" s="6"/>
      <c r="Q26" s="6"/>
      <c r="R26" s="6"/>
    </row>
    <row r="27" spans="2:19" s="5" customFormat="1" ht="23.1" customHeight="1" thickBot="1" x14ac:dyDescent="0.2">
      <c r="B27" s="30"/>
      <c r="C27" s="268"/>
      <c r="D27" s="269"/>
      <c r="E27" s="269"/>
      <c r="F27" s="269"/>
      <c r="G27" s="269"/>
      <c r="H27" s="270"/>
      <c r="I27" s="9"/>
      <c r="J27" s="9"/>
      <c r="M27" s="6"/>
      <c r="N27" s="6"/>
      <c r="O27" s="6"/>
      <c r="P27" s="6"/>
      <c r="Q27" s="6"/>
      <c r="R27" s="6"/>
    </row>
    <row r="28" spans="2:19" s="5" customFormat="1" ht="23.1" customHeight="1" thickBot="1" x14ac:dyDescent="0.2">
      <c r="B28" s="30"/>
      <c r="C28" s="268"/>
      <c r="D28" s="269"/>
      <c r="E28" s="269"/>
      <c r="F28" s="269"/>
      <c r="G28" s="269"/>
      <c r="H28" s="270"/>
      <c r="I28" s="9"/>
      <c r="J28" s="9"/>
      <c r="M28" s="6"/>
      <c r="N28" s="6"/>
      <c r="O28" s="6"/>
      <c r="P28" s="6"/>
      <c r="Q28" s="6"/>
      <c r="R28" s="6"/>
    </row>
    <row r="29" spans="2:19" s="5" customFormat="1" ht="23.1" customHeight="1" thickBot="1" x14ac:dyDescent="0.2">
      <c r="B29" s="31"/>
      <c r="C29" s="271"/>
      <c r="D29" s="272"/>
      <c r="E29" s="272"/>
      <c r="F29" s="272"/>
      <c r="G29" s="272"/>
      <c r="H29" s="273"/>
      <c r="I29" s="9"/>
      <c r="J29" s="9"/>
      <c r="M29" s="6"/>
      <c r="N29" s="6"/>
      <c r="O29" s="6"/>
      <c r="P29" s="6"/>
      <c r="Q29" s="6"/>
      <c r="R29" s="6"/>
    </row>
    <row r="30" spans="2:19" s="5" customFormat="1" ht="20.100000000000001" customHeight="1" thickBot="1" x14ac:dyDescent="0.2">
      <c r="B30" s="6"/>
      <c r="C30" s="6"/>
      <c r="D30" s="6"/>
      <c r="E30" s="6"/>
      <c r="F30" s="6"/>
      <c r="G30" s="6"/>
      <c r="H30" s="6"/>
      <c r="M30" s="6"/>
      <c r="N30" s="6"/>
      <c r="O30" s="6"/>
      <c r="P30" s="6"/>
      <c r="Q30" s="6"/>
      <c r="R30" s="6"/>
    </row>
    <row r="31" spans="2:19" s="5" customFormat="1" ht="27" customHeight="1" thickBot="1" x14ac:dyDescent="0.2">
      <c r="B31" s="8" t="s">
        <v>170</v>
      </c>
      <c r="C31" s="265"/>
      <c r="D31" s="266"/>
      <c r="E31" s="266"/>
      <c r="F31" s="266"/>
      <c r="G31" s="266"/>
      <c r="H31" s="267"/>
      <c r="I31" s="76" t="str">
        <f>IF(C31="","",LEN(C31)&amp;"/120　文字")</f>
        <v/>
      </c>
      <c r="M31" s="6"/>
      <c r="N31" s="6"/>
      <c r="O31" s="6"/>
      <c r="P31" s="6"/>
      <c r="Q31" s="6"/>
      <c r="R31" s="6"/>
    </row>
    <row r="32" spans="2:19" s="5" customFormat="1" ht="27" customHeight="1" thickBot="1" x14ac:dyDescent="0.2">
      <c r="B32" s="17" t="s">
        <v>182</v>
      </c>
      <c r="C32" s="268"/>
      <c r="D32" s="269"/>
      <c r="E32" s="269"/>
      <c r="F32" s="269"/>
      <c r="G32" s="269"/>
      <c r="H32" s="270"/>
      <c r="I32" s="180" t="str">
        <f>IF(AND(B33="該当あり",C31=""),"特記事項は記入していますか？","")</f>
        <v/>
      </c>
      <c r="M32" s="6"/>
      <c r="N32" s="6"/>
      <c r="O32" s="6"/>
      <c r="P32" s="6"/>
      <c r="Q32" s="6"/>
      <c r="R32" s="6"/>
    </row>
    <row r="33" spans="2:18" s="5" customFormat="1" ht="27" customHeight="1" thickBot="1" x14ac:dyDescent="0.2">
      <c r="B33" s="26" t="str">
        <f>IF(計算シート!B18=TRUE,"該当あり","")</f>
        <v/>
      </c>
      <c r="C33" s="268"/>
      <c r="D33" s="269"/>
      <c r="E33" s="269"/>
      <c r="F33" s="269"/>
      <c r="G33" s="269"/>
      <c r="H33" s="270"/>
      <c r="I33" s="11"/>
      <c r="J33" s="12"/>
      <c r="M33" s="6"/>
      <c r="N33" s="6"/>
      <c r="O33" s="6"/>
      <c r="P33" s="6"/>
      <c r="Q33" s="6"/>
      <c r="R33" s="6"/>
    </row>
    <row r="34" spans="2:18" s="5" customFormat="1" ht="23.1" customHeight="1" thickBot="1" x14ac:dyDescent="0.2">
      <c r="B34" s="29"/>
      <c r="C34" s="268"/>
      <c r="D34" s="269"/>
      <c r="E34" s="269"/>
      <c r="F34" s="269"/>
      <c r="G34" s="269"/>
      <c r="H34" s="270"/>
      <c r="I34" s="285"/>
      <c r="J34" s="285"/>
      <c r="M34" s="6"/>
      <c r="N34" s="6"/>
      <c r="O34" s="6"/>
      <c r="P34" s="6"/>
      <c r="Q34" s="6"/>
      <c r="R34" s="6"/>
    </row>
    <row r="35" spans="2:18" s="5" customFormat="1" ht="23.1" customHeight="1" thickBot="1" x14ac:dyDescent="0.2">
      <c r="B35" s="30"/>
      <c r="C35" s="268"/>
      <c r="D35" s="269"/>
      <c r="E35" s="269"/>
      <c r="F35" s="269"/>
      <c r="G35" s="269"/>
      <c r="H35" s="270"/>
      <c r="I35" s="6"/>
      <c r="J35" s="6"/>
      <c r="M35" s="6"/>
      <c r="N35" s="6"/>
      <c r="O35" s="6"/>
      <c r="P35" s="6"/>
      <c r="Q35" s="6"/>
      <c r="R35" s="6"/>
    </row>
    <row r="36" spans="2:18" s="5" customFormat="1" ht="23.1" customHeight="1" thickBot="1" x14ac:dyDescent="0.2">
      <c r="B36" s="30"/>
      <c r="C36" s="268"/>
      <c r="D36" s="269"/>
      <c r="E36" s="269"/>
      <c r="F36" s="269"/>
      <c r="G36" s="269"/>
      <c r="H36" s="270"/>
      <c r="I36" s="9"/>
      <c r="J36" s="9"/>
      <c r="M36" s="6"/>
      <c r="N36" s="6"/>
      <c r="O36" s="6"/>
      <c r="P36" s="6"/>
      <c r="Q36" s="6"/>
      <c r="R36" s="6"/>
    </row>
    <row r="37" spans="2:18" s="5" customFormat="1" ht="23.1" customHeight="1" thickBot="1" x14ac:dyDescent="0.2">
      <c r="B37" s="30"/>
      <c r="C37" s="268"/>
      <c r="D37" s="269"/>
      <c r="E37" s="269"/>
      <c r="F37" s="269"/>
      <c r="G37" s="269"/>
      <c r="H37" s="270"/>
      <c r="I37" s="9"/>
      <c r="J37" s="9"/>
      <c r="M37" s="6"/>
      <c r="N37" s="6"/>
      <c r="O37" s="6"/>
      <c r="P37" s="6"/>
      <c r="Q37" s="6"/>
      <c r="R37" s="6"/>
    </row>
    <row r="38" spans="2:18" s="5" customFormat="1" ht="23.1" customHeight="1" thickBot="1" x14ac:dyDescent="0.2">
      <c r="B38" s="31"/>
      <c r="C38" s="271"/>
      <c r="D38" s="272"/>
      <c r="E38" s="272"/>
      <c r="F38" s="272"/>
      <c r="G38" s="272"/>
      <c r="H38" s="273"/>
      <c r="I38" s="9"/>
      <c r="J38" s="9"/>
      <c r="M38" s="6"/>
      <c r="N38" s="6"/>
      <c r="O38" s="6"/>
      <c r="P38" s="6"/>
      <c r="Q38" s="6"/>
      <c r="R38" s="6"/>
    </row>
    <row r="39" spans="2:18" s="5" customFormat="1" ht="20.100000000000001" customHeight="1" thickBot="1" x14ac:dyDescent="0.2">
      <c r="B39" s="6"/>
      <c r="C39" s="6"/>
      <c r="D39" s="6"/>
      <c r="E39" s="6"/>
      <c r="F39" s="6"/>
      <c r="G39" s="6"/>
      <c r="H39" s="6"/>
      <c r="M39" s="6"/>
      <c r="N39" s="6"/>
      <c r="O39" s="6"/>
      <c r="P39" s="6"/>
      <c r="Q39" s="6"/>
      <c r="R39" s="6"/>
    </row>
    <row r="40" spans="2:18" s="5" customFormat="1" ht="27" customHeight="1" thickBot="1" x14ac:dyDescent="0.2">
      <c r="B40" s="8" t="s">
        <v>172</v>
      </c>
      <c r="C40" s="265"/>
      <c r="D40" s="266"/>
      <c r="E40" s="266"/>
      <c r="F40" s="266"/>
      <c r="G40" s="266"/>
      <c r="H40" s="267"/>
      <c r="I40" s="76" t="str">
        <f>IF(C40="","",LEN(C40)&amp;"/120　文字")</f>
        <v/>
      </c>
      <c r="M40" s="6"/>
      <c r="N40" s="6"/>
      <c r="O40" s="6"/>
      <c r="P40" s="6"/>
      <c r="Q40" s="6"/>
      <c r="R40" s="6"/>
    </row>
    <row r="41" spans="2:18" s="5" customFormat="1" ht="27" customHeight="1" thickBot="1" x14ac:dyDescent="0.2">
      <c r="B41" s="17" t="s">
        <v>183</v>
      </c>
      <c r="C41" s="268"/>
      <c r="D41" s="269"/>
      <c r="E41" s="269"/>
      <c r="F41" s="269"/>
      <c r="G41" s="269"/>
      <c r="H41" s="270"/>
      <c r="I41" s="180" t="str">
        <f>IF(AND(B42="該当あり",C40=""),"特記事項は記入していますか？","")</f>
        <v/>
      </c>
      <c r="M41" s="6"/>
      <c r="N41" s="6"/>
      <c r="O41" s="6"/>
      <c r="P41" s="6"/>
      <c r="Q41" s="6"/>
      <c r="R41" s="6"/>
    </row>
    <row r="42" spans="2:18" s="5" customFormat="1" ht="27" customHeight="1" thickBot="1" x14ac:dyDescent="0.2">
      <c r="B42" s="26" t="str">
        <f>IF(計算シート!B19=TRUE,"該当あり","")</f>
        <v/>
      </c>
      <c r="C42" s="268"/>
      <c r="D42" s="269"/>
      <c r="E42" s="269"/>
      <c r="F42" s="269"/>
      <c r="G42" s="269"/>
      <c r="H42" s="270"/>
      <c r="I42" s="11"/>
      <c r="J42" s="12"/>
      <c r="M42" s="6"/>
      <c r="N42" s="6"/>
      <c r="O42" s="6"/>
      <c r="P42" s="6"/>
      <c r="Q42" s="6"/>
      <c r="R42" s="6"/>
    </row>
    <row r="43" spans="2:18" s="5" customFormat="1" ht="23.1" customHeight="1" thickBot="1" x14ac:dyDescent="0.2">
      <c r="B43" s="29"/>
      <c r="C43" s="268"/>
      <c r="D43" s="269"/>
      <c r="E43" s="269"/>
      <c r="F43" s="269"/>
      <c r="G43" s="269"/>
      <c r="H43" s="270"/>
      <c r="I43" s="285"/>
      <c r="J43" s="285"/>
      <c r="M43" s="6"/>
      <c r="N43" s="6"/>
      <c r="O43" s="6"/>
      <c r="P43" s="6"/>
      <c r="Q43" s="6"/>
      <c r="R43" s="6"/>
    </row>
    <row r="44" spans="2:18" s="5" customFormat="1" ht="23.1" customHeight="1" thickBot="1" x14ac:dyDescent="0.2">
      <c r="B44" s="30"/>
      <c r="C44" s="268"/>
      <c r="D44" s="269"/>
      <c r="E44" s="269"/>
      <c r="F44" s="269"/>
      <c r="G44" s="269"/>
      <c r="H44" s="270"/>
      <c r="I44" s="9"/>
      <c r="J44" s="9"/>
      <c r="M44" s="6"/>
      <c r="N44" s="6"/>
      <c r="O44" s="6"/>
      <c r="P44" s="6"/>
      <c r="Q44" s="6"/>
      <c r="R44" s="6"/>
    </row>
    <row r="45" spans="2:18" s="5" customFormat="1" ht="23.1" customHeight="1" thickBot="1" x14ac:dyDescent="0.2">
      <c r="B45" s="30"/>
      <c r="C45" s="268"/>
      <c r="D45" s="269"/>
      <c r="E45" s="269"/>
      <c r="F45" s="269"/>
      <c r="G45" s="269"/>
      <c r="H45" s="270"/>
      <c r="I45" s="9"/>
      <c r="J45" s="9"/>
      <c r="M45" s="6"/>
      <c r="N45" s="6"/>
      <c r="O45" s="6"/>
      <c r="P45" s="6"/>
      <c r="Q45" s="6"/>
      <c r="R45" s="6"/>
    </row>
    <row r="46" spans="2:18" s="5" customFormat="1" ht="23.1" customHeight="1" thickBot="1" x14ac:dyDescent="0.2">
      <c r="B46" s="30"/>
      <c r="C46" s="268"/>
      <c r="D46" s="269"/>
      <c r="E46" s="269"/>
      <c r="F46" s="269"/>
      <c r="G46" s="269"/>
      <c r="H46" s="270"/>
      <c r="I46" s="9"/>
      <c r="J46" s="9"/>
      <c r="M46" s="6"/>
      <c r="N46" s="6"/>
      <c r="O46" s="6"/>
      <c r="P46" s="6"/>
      <c r="Q46" s="6"/>
      <c r="R46" s="6"/>
    </row>
    <row r="47" spans="2:18" s="5" customFormat="1" ht="23.1" customHeight="1" thickBot="1" x14ac:dyDescent="0.2">
      <c r="B47" s="31"/>
      <c r="C47" s="271"/>
      <c r="D47" s="272"/>
      <c r="E47" s="272"/>
      <c r="F47" s="272"/>
      <c r="G47" s="272"/>
      <c r="H47" s="273"/>
      <c r="I47" s="9"/>
      <c r="J47" s="9"/>
      <c r="M47" s="6"/>
      <c r="N47" s="6"/>
      <c r="O47" s="6"/>
      <c r="P47" s="6"/>
      <c r="Q47" s="6"/>
      <c r="R47" s="6"/>
    </row>
    <row r="48" spans="2:18" s="5" customFormat="1" ht="20.100000000000001" customHeight="1" thickBot="1" x14ac:dyDescent="0.2">
      <c r="B48" s="6"/>
      <c r="C48" s="6"/>
      <c r="D48" s="6"/>
      <c r="E48" s="6"/>
      <c r="F48" s="6"/>
      <c r="G48" s="6"/>
      <c r="H48" s="6"/>
      <c r="M48" s="6"/>
      <c r="N48" s="6"/>
      <c r="O48" s="6"/>
      <c r="P48" s="6"/>
      <c r="Q48" s="6"/>
      <c r="R48" s="6"/>
    </row>
    <row r="49" spans="2:18" s="5" customFormat="1" ht="27" customHeight="1" thickBot="1" x14ac:dyDescent="0.2">
      <c r="B49" s="8" t="s">
        <v>171</v>
      </c>
      <c r="C49" s="265"/>
      <c r="D49" s="266"/>
      <c r="E49" s="266"/>
      <c r="F49" s="266"/>
      <c r="G49" s="266"/>
      <c r="H49" s="267"/>
      <c r="I49" s="76" t="str">
        <f>IF(C49="","",LEN(C49)&amp;"/120　文字")</f>
        <v/>
      </c>
      <c r="M49" s="6"/>
      <c r="N49" s="6"/>
      <c r="O49" s="6"/>
      <c r="P49" s="6"/>
      <c r="Q49" s="6"/>
      <c r="R49" s="6"/>
    </row>
    <row r="50" spans="2:18" s="5" customFormat="1" ht="27" customHeight="1" thickBot="1" x14ac:dyDescent="0.2">
      <c r="B50" s="19" t="s">
        <v>184</v>
      </c>
      <c r="C50" s="268"/>
      <c r="D50" s="269"/>
      <c r="E50" s="269"/>
      <c r="F50" s="269"/>
      <c r="G50" s="269"/>
      <c r="H50" s="270"/>
      <c r="I50" s="180" t="str">
        <f>IF(AND(B51="該当あり",C49=""),"特記事項は記入していますか？","")</f>
        <v/>
      </c>
      <c r="M50" s="6"/>
      <c r="N50" s="6"/>
      <c r="O50" s="6"/>
      <c r="P50" s="6"/>
      <c r="Q50" s="6"/>
      <c r="R50" s="6"/>
    </row>
    <row r="51" spans="2:18" s="5" customFormat="1" ht="27" customHeight="1" thickBot="1" x14ac:dyDescent="0.2">
      <c r="B51" s="26" t="str">
        <f>IF(計算シート!B20=TRUE,"該当あり","")</f>
        <v/>
      </c>
      <c r="C51" s="268"/>
      <c r="D51" s="269"/>
      <c r="E51" s="269"/>
      <c r="F51" s="269"/>
      <c r="G51" s="269"/>
      <c r="H51" s="270"/>
      <c r="I51" s="11"/>
      <c r="J51" s="12"/>
      <c r="M51" s="6"/>
      <c r="N51" s="6"/>
      <c r="O51" s="6"/>
      <c r="P51" s="6"/>
      <c r="Q51" s="6"/>
      <c r="R51" s="6"/>
    </row>
    <row r="52" spans="2:18" s="5" customFormat="1" ht="23.1" customHeight="1" thickBot="1" x14ac:dyDescent="0.2">
      <c r="B52" s="29"/>
      <c r="C52" s="268"/>
      <c r="D52" s="269"/>
      <c r="E52" s="269"/>
      <c r="F52" s="269"/>
      <c r="G52" s="269"/>
      <c r="H52" s="270"/>
      <c r="I52" s="285"/>
      <c r="J52" s="285"/>
      <c r="M52" s="6"/>
      <c r="N52" s="6"/>
      <c r="O52" s="6"/>
      <c r="P52" s="6"/>
      <c r="Q52" s="6"/>
      <c r="R52" s="6"/>
    </row>
    <row r="53" spans="2:18" s="5" customFormat="1" ht="23.1" customHeight="1" thickBot="1" x14ac:dyDescent="0.2">
      <c r="B53" s="30"/>
      <c r="C53" s="268"/>
      <c r="D53" s="269"/>
      <c r="E53" s="269"/>
      <c r="F53" s="269"/>
      <c r="G53" s="269"/>
      <c r="H53" s="270"/>
      <c r="I53" s="9"/>
      <c r="J53" s="9"/>
      <c r="M53" s="6"/>
      <c r="N53" s="6"/>
      <c r="O53" s="6"/>
      <c r="P53" s="6"/>
      <c r="Q53" s="6"/>
      <c r="R53" s="6"/>
    </row>
    <row r="54" spans="2:18" s="5" customFormat="1" ht="23.1" customHeight="1" thickBot="1" x14ac:dyDescent="0.2">
      <c r="B54" s="30"/>
      <c r="C54" s="268"/>
      <c r="D54" s="269"/>
      <c r="E54" s="269"/>
      <c r="F54" s="269"/>
      <c r="G54" s="269"/>
      <c r="H54" s="270"/>
      <c r="I54" s="9"/>
      <c r="J54" s="9"/>
      <c r="M54" s="6"/>
      <c r="N54" s="6"/>
      <c r="O54" s="6"/>
      <c r="P54" s="6"/>
      <c r="Q54" s="6"/>
      <c r="R54" s="6"/>
    </row>
    <row r="55" spans="2:18" s="5" customFormat="1" ht="23.1" customHeight="1" thickBot="1" x14ac:dyDescent="0.2">
      <c r="B55" s="30"/>
      <c r="C55" s="268"/>
      <c r="D55" s="269"/>
      <c r="E55" s="269"/>
      <c r="F55" s="269"/>
      <c r="G55" s="269"/>
      <c r="H55" s="270"/>
      <c r="I55" s="9"/>
      <c r="J55" s="9"/>
      <c r="M55" s="6"/>
      <c r="N55" s="6"/>
      <c r="O55" s="6"/>
      <c r="P55" s="6"/>
      <c r="Q55" s="6"/>
      <c r="R55" s="6"/>
    </row>
    <row r="56" spans="2:18" s="5" customFormat="1" ht="23.1" customHeight="1" thickBot="1" x14ac:dyDescent="0.2">
      <c r="B56" s="31"/>
      <c r="C56" s="271"/>
      <c r="D56" s="272"/>
      <c r="E56" s="272"/>
      <c r="F56" s="272"/>
      <c r="G56" s="272"/>
      <c r="H56" s="273"/>
      <c r="I56" s="9"/>
      <c r="J56" s="9"/>
      <c r="M56" s="6"/>
      <c r="N56" s="6"/>
      <c r="O56" s="6"/>
      <c r="P56" s="6"/>
      <c r="Q56" s="6"/>
      <c r="R56" s="6"/>
    </row>
    <row r="57" spans="2:18" s="5" customFormat="1" ht="20.100000000000001" customHeight="1" thickBot="1" x14ac:dyDescent="0.2">
      <c r="B57" s="6"/>
      <c r="C57" s="6"/>
      <c r="D57" s="6"/>
      <c r="E57" s="6"/>
      <c r="F57" s="6"/>
      <c r="G57" s="6"/>
      <c r="H57" s="6"/>
      <c r="I57" s="12"/>
      <c r="J57" s="12"/>
      <c r="M57" s="6"/>
      <c r="N57" s="6"/>
      <c r="O57" s="6"/>
      <c r="P57" s="6"/>
      <c r="Q57" s="6"/>
      <c r="R57" s="6"/>
    </row>
    <row r="58" spans="2:18" s="5" customFormat="1" ht="27" customHeight="1" thickBot="1" x14ac:dyDescent="0.2">
      <c r="B58" s="8" t="s">
        <v>173</v>
      </c>
      <c r="C58" s="265"/>
      <c r="D58" s="266"/>
      <c r="E58" s="266"/>
      <c r="F58" s="266"/>
      <c r="G58" s="266"/>
      <c r="H58" s="267"/>
      <c r="I58" s="76" t="str">
        <f>IF(C58="","",LEN(C58)&amp;"/120　文字")</f>
        <v/>
      </c>
      <c r="M58" s="6"/>
      <c r="N58" s="6"/>
      <c r="O58" s="6"/>
      <c r="P58" s="6"/>
      <c r="Q58" s="6"/>
      <c r="R58" s="6"/>
    </row>
    <row r="59" spans="2:18" s="5" customFormat="1" ht="27" customHeight="1" thickBot="1" x14ac:dyDescent="0.2">
      <c r="B59" s="17" t="s">
        <v>185</v>
      </c>
      <c r="C59" s="268"/>
      <c r="D59" s="269"/>
      <c r="E59" s="269"/>
      <c r="F59" s="269"/>
      <c r="G59" s="269"/>
      <c r="H59" s="270"/>
      <c r="I59" s="180" t="str">
        <f>IF(AND(B60="該当あり",C58=""),"特記事項は記入していますか？","")</f>
        <v/>
      </c>
      <c r="M59" s="6"/>
      <c r="N59" s="6"/>
      <c r="O59" s="6"/>
      <c r="P59" s="6"/>
      <c r="Q59" s="6"/>
      <c r="R59" s="6"/>
    </row>
    <row r="60" spans="2:18" s="5" customFormat="1" ht="27" customHeight="1" thickBot="1" x14ac:dyDescent="0.2">
      <c r="B60" s="26" t="str">
        <f>IF(計算シート!B21=TRUE,"該当あり","")</f>
        <v/>
      </c>
      <c r="C60" s="268"/>
      <c r="D60" s="269"/>
      <c r="E60" s="269"/>
      <c r="F60" s="269"/>
      <c r="G60" s="269"/>
      <c r="H60" s="270"/>
      <c r="I60" s="11"/>
      <c r="J60" s="12"/>
      <c r="M60" s="6"/>
      <c r="N60" s="6"/>
      <c r="O60" s="6"/>
      <c r="P60" s="6"/>
      <c r="Q60" s="6"/>
      <c r="R60" s="6"/>
    </row>
    <row r="61" spans="2:18" s="5" customFormat="1" ht="23.1" customHeight="1" thickBot="1" x14ac:dyDescent="0.2">
      <c r="B61" s="29"/>
      <c r="C61" s="268"/>
      <c r="D61" s="269"/>
      <c r="E61" s="269"/>
      <c r="F61" s="269"/>
      <c r="G61" s="269"/>
      <c r="H61" s="270"/>
      <c r="I61" s="285"/>
      <c r="J61" s="285"/>
      <c r="M61" s="6"/>
      <c r="N61" s="6"/>
      <c r="O61" s="6"/>
      <c r="P61" s="6"/>
      <c r="Q61" s="6"/>
      <c r="R61" s="6"/>
    </row>
    <row r="62" spans="2:18" s="5" customFormat="1" ht="23.1" customHeight="1" thickBot="1" x14ac:dyDescent="0.2">
      <c r="B62" s="30"/>
      <c r="C62" s="268"/>
      <c r="D62" s="269"/>
      <c r="E62" s="269"/>
      <c r="F62" s="269"/>
      <c r="G62" s="269"/>
      <c r="H62" s="270"/>
      <c r="I62" s="6"/>
      <c r="J62" s="6"/>
      <c r="M62" s="6"/>
      <c r="N62" s="6"/>
      <c r="O62" s="6"/>
      <c r="P62" s="6"/>
      <c r="Q62" s="6"/>
      <c r="R62" s="6"/>
    </row>
    <row r="63" spans="2:18" s="5" customFormat="1" ht="23.1" customHeight="1" thickBot="1" x14ac:dyDescent="0.2">
      <c r="B63" s="30"/>
      <c r="C63" s="268"/>
      <c r="D63" s="269"/>
      <c r="E63" s="269"/>
      <c r="F63" s="269"/>
      <c r="G63" s="269"/>
      <c r="H63" s="270"/>
      <c r="I63" s="9"/>
      <c r="J63" s="9"/>
      <c r="M63" s="6"/>
      <c r="N63" s="6"/>
      <c r="O63" s="6"/>
      <c r="P63" s="6"/>
      <c r="Q63" s="6"/>
      <c r="R63" s="6"/>
    </row>
    <row r="64" spans="2:18" s="5" customFormat="1" ht="23.1" customHeight="1" thickBot="1" x14ac:dyDescent="0.2">
      <c r="B64" s="30"/>
      <c r="C64" s="268"/>
      <c r="D64" s="269"/>
      <c r="E64" s="269"/>
      <c r="F64" s="269"/>
      <c r="G64" s="269"/>
      <c r="H64" s="270"/>
      <c r="I64" s="9"/>
      <c r="J64" s="9"/>
      <c r="M64" s="6"/>
      <c r="N64" s="6"/>
      <c r="O64" s="6"/>
      <c r="P64" s="6"/>
      <c r="Q64" s="6"/>
      <c r="R64" s="6"/>
    </row>
    <row r="65" spans="2:18" s="5" customFormat="1" ht="23.1" customHeight="1" thickBot="1" x14ac:dyDescent="0.2">
      <c r="B65" s="31"/>
      <c r="C65" s="271"/>
      <c r="D65" s="272"/>
      <c r="E65" s="272"/>
      <c r="F65" s="272"/>
      <c r="G65" s="272"/>
      <c r="H65" s="273"/>
      <c r="I65" s="9"/>
      <c r="J65" s="9"/>
      <c r="M65" s="6"/>
      <c r="N65" s="6"/>
      <c r="O65" s="6"/>
      <c r="P65" s="6"/>
      <c r="Q65" s="6"/>
      <c r="R65" s="6"/>
    </row>
    <row r="66" spans="2:18" s="5" customFormat="1" ht="20.100000000000001" customHeight="1" thickBot="1" x14ac:dyDescent="0.2">
      <c r="B66" s="6"/>
      <c r="C66" s="6"/>
      <c r="D66" s="6"/>
      <c r="E66" s="6"/>
      <c r="F66" s="6"/>
      <c r="G66" s="6"/>
      <c r="H66" s="6"/>
      <c r="M66" s="6"/>
      <c r="N66" s="6"/>
      <c r="O66" s="6"/>
      <c r="P66" s="6"/>
      <c r="Q66" s="6"/>
      <c r="R66" s="6"/>
    </row>
    <row r="67" spans="2:18" s="5" customFormat="1" ht="27" customHeight="1" thickBot="1" x14ac:dyDescent="0.2">
      <c r="B67" s="8" t="s">
        <v>174</v>
      </c>
      <c r="C67" s="274"/>
      <c r="D67" s="266"/>
      <c r="E67" s="266"/>
      <c r="F67" s="266"/>
      <c r="G67" s="266"/>
      <c r="H67" s="267"/>
      <c r="I67" s="76" t="str">
        <f>IF(C67="","",LEN(C67)&amp;"/120　文字")</f>
        <v/>
      </c>
      <c r="M67" s="6"/>
      <c r="N67" s="6"/>
      <c r="O67" s="6"/>
      <c r="P67" s="6"/>
      <c r="Q67" s="6"/>
      <c r="R67" s="6"/>
    </row>
    <row r="68" spans="2:18" s="5" customFormat="1" ht="27" customHeight="1" thickBot="1" x14ac:dyDescent="0.2">
      <c r="B68" s="19" t="s">
        <v>186</v>
      </c>
      <c r="C68" s="268"/>
      <c r="D68" s="269"/>
      <c r="E68" s="269"/>
      <c r="F68" s="269"/>
      <c r="G68" s="269"/>
      <c r="H68" s="270"/>
      <c r="I68" s="180" t="str">
        <f>IF(AND(B69="該当あり",C67=""),"特記事項は記入していますか？","")</f>
        <v/>
      </c>
      <c r="M68" s="6"/>
      <c r="N68" s="6"/>
      <c r="O68" s="6"/>
      <c r="P68" s="6"/>
      <c r="Q68" s="6"/>
      <c r="R68" s="6"/>
    </row>
    <row r="69" spans="2:18" s="5" customFormat="1" ht="27" customHeight="1" thickBot="1" x14ac:dyDescent="0.2">
      <c r="B69" s="26" t="str">
        <f>IF(計算シート!B22=TRUE,"該当あり","")</f>
        <v/>
      </c>
      <c r="C69" s="268"/>
      <c r="D69" s="269"/>
      <c r="E69" s="269"/>
      <c r="F69" s="269"/>
      <c r="G69" s="269"/>
      <c r="H69" s="270"/>
      <c r="I69" s="11"/>
      <c r="J69" s="12"/>
      <c r="M69" s="6"/>
      <c r="N69" s="6"/>
      <c r="O69" s="6"/>
      <c r="P69" s="6"/>
      <c r="Q69" s="6"/>
      <c r="R69" s="6"/>
    </row>
    <row r="70" spans="2:18" s="5" customFormat="1" ht="23.1" customHeight="1" thickBot="1" x14ac:dyDescent="0.2">
      <c r="B70" s="29"/>
      <c r="C70" s="268"/>
      <c r="D70" s="269"/>
      <c r="E70" s="269"/>
      <c r="F70" s="269"/>
      <c r="G70" s="269"/>
      <c r="H70" s="270"/>
      <c r="I70" s="285"/>
      <c r="J70" s="285"/>
      <c r="M70" s="6"/>
      <c r="N70" s="6"/>
      <c r="O70" s="6"/>
      <c r="P70" s="6"/>
      <c r="Q70" s="6"/>
      <c r="R70" s="6"/>
    </row>
    <row r="71" spans="2:18" s="5" customFormat="1" ht="23.1" customHeight="1" thickBot="1" x14ac:dyDescent="0.2">
      <c r="B71" s="30"/>
      <c r="C71" s="268"/>
      <c r="D71" s="269"/>
      <c r="E71" s="269"/>
      <c r="F71" s="269"/>
      <c r="G71" s="269"/>
      <c r="H71" s="270"/>
      <c r="I71" s="9"/>
      <c r="J71" s="9"/>
      <c r="M71" s="6"/>
      <c r="N71" s="6"/>
      <c r="O71" s="6"/>
      <c r="P71" s="6"/>
      <c r="Q71" s="6"/>
      <c r="R71" s="6"/>
    </row>
    <row r="72" spans="2:18" s="5" customFormat="1" ht="23.1" customHeight="1" thickBot="1" x14ac:dyDescent="0.2">
      <c r="B72" s="30"/>
      <c r="C72" s="268"/>
      <c r="D72" s="269"/>
      <c r="E72" s="269"/>
      <c r="F72" s="269"/>
      <c r="G72" s="269"/>
      <c r="H72" s="270"/>
      <c r="I72" s="9"/>
      <c r="J72" s="9"/>
      <c r="M72" s="6"/>
      <c r="N72" s="6"/>
      <c r="O72" s="6"/>
      <c r="P72" s="6"/>
      <c r="Q72" s="6"/>
      <c r="R72" s="6"/>
    </row>
    <row r="73" spans="2:18" s="5" customFormat="1" ht="23.1" customHeight="1" thickBot="1" x14ac:dyDescent="0.2">
      <c r="B73" s="30"/>
      <c r="C73" s="268"/>
      <c r="D73" s="269"/>
      <c r="E73" s="269"/>
      <c r="F73" s="269"/>
      <c r="G73" s="269"/>
      <c r="H73" s="270"/>
      <c r="I73" s="9"/>
      <c r="J73" s="9"/>
      <c r="M73" s="6"/>
      <c r="N73" s="6"/>
      <c r="O73" s="6"/>
      <c r="P73" s="6"/>
      <c r="Q73" s="6"/>
      <c r="R73" s="6"/>
    </row>
    <row r="74" spans="2:18" s="5" customFormat="1" ht="23.1" customHeight="1" thickBot="1" x14ac:dyDescent="0.2">
      <c r="B74" s="31"/>
      <c r="C74" s="271"/>
      <c r="D74" s="272"/>
      <c r="E74" s="272"/>
      <c r="F74" s="272"/>
      <c r="G74" s="272"/>
      <c r="H74" s="273"/>
      <c r="I74" s="9"/>
      <c r="J74" s="9"/>
      <c r="M74" s="6"/>
      <c r="N74" s="6"/>
      <c r="O74" s="6"/>
      <c r="P74" s="6"/>
      <c r="Q74" s="6"/>
      <c r="R74" s="6"/>
    </row>
    <row r="75" spans="2:18" s="5" customFormat="1" ht="20.100000000000001" customHeight="1" thickBot="1" x14ac:dyDescent="0.2">
      <c r="B75" s="6"/>
      <c r="C75" s="6"/>
      <c r="D75" s="6"/>
      <c r="E75" s="6"/>
      <c r="F75" s="6"/>
      <c r="G75" s="6"/>
      <c r="H75" s="6"/>
      <c r="M75" s="6"/>
      <c r="N75" s="6"/>
      <c r="O75" s="6"/>
      <c r="P75" s="6"/>
      <c r="Q75" s="6"/>
      <c r="R75" s="6"/>
    </row>
    <row r="76" spans="2:18" s="5" customFormat="1" ht="27" customHeight="1" thickBot="1" x14ac:dyDescent="0.2">
      <c r="B76" s="8" t="s">
        <v>175</v>
      </c>
      <c r="C76" s="265"/>
      <c r="D76" s="266"/>
      <c r="E76" s="266"/>
      <c r="F76" s="266"/>
      <c r="G76" s="266"/>
      <c r="H76" s="267"/>
      <c r="I76" s="76" t="str">
        <f>IF(C76="","",LEN(C76)&amp;"/120　文字")</f>
        <v/>
      </c>
      <c r="M76" s="6"/>
      <c r="N76" s="6"/>
      <c r="O76" s="6"/>
      <c r="P76" s="6"/>
      <c r="Q76" s="6"/>
      <c r="R76" s="6"/>
    </row>
    <row r="77" spans="2:18" s="5" customFormat="1" ht="27" customHeight="1" thickBot="1" x14ac:dyDescent="0.2">
      <c r="B77" s="17" t="s">
        <v>187</v>
      </c>
      <c r="C77" s="268"/>
      <c r="D77" s="269"/>
      <c r="E77" s="269"/>
      <c r="F77" s="269"/>
      <c r="G77" s="269"/>
      <c r="H77" s="270"/>
      <c r="I77" s="180" t="str">
        <f>IF(AND(B78="該当あり",C76=""),"特記事項は記入していますか？","")</f>
        <v/>
      </c>
      <c r="M77" s="6"/>
      <c r="N77" s="6"/>
      <c r="O77" s="6"/>
      <c r="P77" s="6"/>
      <c r="Q77" s="6"/>
      <c r="R77" s="6"/>
    </row>
    <row r="78" spans="2:18" s="5" customFormat="1" ht="27" customHeight="1" thickBot="1" x14ac:dyDescent="0.2">
      <c r="B78" s="26" t="str">
        <f>IF(計算シート!B23=TRUE,"該当あり","")</f>
        <v/>
      </c>
      <c r="C78" s="268"/>
      <c r="D78" s="269"/>
      <c r="E78" s="269"/>
      <c r="F78" s="269"/>
      <c r="G78" s="269"/>
      <c r="H78" s="270"/>
      <c r="I78" s="11"/>
      <c r="J78" s="12"/>
      <c r="M78" s="6"/>
      <c r="N78" s="6"/>
      <c r="O78" s="6"/>
      <c r="P78" s="6"/>
      <c r="Q78" s="6"/>
      <c r="R78" s="6"/>
    </row>
    <row r="79" spans="2:18" s="5" customFormat="1" ht="23.1" customHeight="1" thickBot="1" x14ac:dyDescent="0.2">
      <c r="B79" s="29"/>
      <c r="C79" s="268"/>
      <c r="D79" s="269"/>
      <c r="E79" s="269"/>
      <c r="F79" s="269"/>
      <c r="G79" s="269"/>
      <c r="H79" s="270"/>
      <c r="I79" s="285"/>
      <c r="J79" s="285"/>
      <c r="M79" s="6"/>
      <c r="N79" s="6"/>
      <c r="O79" s="6"/>
      <c r="P79" s="6"/>
      <c r="Q79" s="6"/>
      <c r="R79" s="6"/>
    </row>
    <row r="80" spans="2:18" s="5" customFormat="1" ht="23.1" customHeight="1" thickBot="1" x14ac:dyDescent="0.2">
      <c r="B80" s="30"/>
      <c r="C80" s="268"/>
      <c r="D80" s="269"/>
      <c r="E80" s="269"/>
      <c r="F80" s="269"/>
      <c r="G80" s="269"/>
      <c r="H80" s="270"/>
      <c r="I80" s="6"/>
      <c r="J80" s="6"/>
      <c r="M80" s="6"/>
      <c r="N80" s="6"/>
      <c r="O80" s="6"/>
      <c r="P80" s="6"/>
      <c r="Q80" s="6"/>
      <c r="R80" s="6"/>
    </row>
    <row r="81" spans="2:18" s="5" customFormat="1" ht="23.1" customHeight="1" thickBot="1" x14ac:dyDescent="0.2">
      <c r="B81" s="30"/>
      <c r="C81" s="268"/>
      <c r="D81" s="269"/>
      <c r="E81" s="269"/>
      <c r="F81" s="269"/>
      <c r="G81" s="269"/>
      <c r="H81" s="270"/>
      <c r="I81" s="9"/>
      <c r="J81" s="9"/>
      <c r="M81" s="6"/>
      <c r="N81" s="6"/>
      <c r="O81" s="6"/>
      <c r="P81" s="6"/>
      <c r="Q81" s="6"/>
      <c r="R81" s="6"/>
    </row>
    <row r="82" spans="2:18" s="5" customFormat="1" ht="23.1" customHeight="1" thickBot="1" x14ac:dyDescent="0.2">
      <c r="B82" s="30"/>
      <c r="C82" s="268"/>
      <c r="D82" s="269"/>
      <c r="E82" s="269"/>
      <c r="F82" s="269"/>
      <c r="G82" s="269"/>
      <c r="H82" s="270"/>
      <c r="I82" s="9"/>
      <c r="J82" s="9"/>
      <c r="M82" s="6"/>
      <c r="N82" s="6"/>
      <c r="O82" s="6"/>
      <c r="P82" s="6"/>
      <c r="Q82" s="6"/>
      <c r="R82" s="6"/>
    </row>
    <row r="83" spans="2:18" s="5" customFormat="1" ht="23.1" customHeight="1" thickBot="1" x14ac:dyDescent="0.2">
      <c r="B83" s="31"/>
      <c r="C83" s="271"/>
      <c r="D83" s="272"/>
      <c r="E83" s="272"/>
      <c r="F83" s="272"/>
      <c r="G83" s="272"/>
      <c r="H83" s="273"/>
      <c r="I83" s="9"/>
      <c r="J83" s="9"/>
      <c r="M83" s="6"/>
      <c r="N83" s="6"/>
      <c r="O83" s="6"/>
      <c r="P83" s="6"/>
      <c r="Q83" s="6"/>
      <c r="R83" s="6"/>
    </row>
    <row r="84" spans="2:18" s="5" customFormat="1" ht="20.100000000000001" customHeight="1" thickBot="1" x14ac:dyDescent="0.2">
      <c r="B84" s="6"/>
      <c r="C84" s="6"/>
      <c r="D84" s="6"/>
      <c r="E84" s="6"/>
      <c r="F84" s="6"/>
      <c r="G84" s="6"/>
      <c r="H84" s="6"/>
      <c r="M84" s="6"/>
      <c r="N84" s="6"/>
      <c r="O84" s="6"/>
      <c r="P84" s="6"/>
      <c r="Q84" s="6"/>
      <c r="R84" s="6"/>
    </row>
    <row r="85" spans="2:18" s="5" customFormat="1" ht="27" customHeight="1" thickBot="1" x14ac:dyDescent="0.2">
      <c r="B85" s="8" t="s">
        <v>176</v>
      </c>
      <c r="C85" s="265"/>
      <c r="D85" s="266"/>
      <c r="E85" s="266"/>
      <c r="F85" s="266"/>
      <c r="G85" s="266"/>
      <c r="H85" s="267"/>
      <c r="I85" s="76" t="str">
        <f>IF(C85="","",LEN(C85)&amp;"/120　文字")</f>
        <v/>
      </c>
      <c r="M85" s="6"/>
      <c r="N85" s="6"/>
      <c r="O85" s="6"/>
      <c r="P85" s="6"/>
      <c r="Q85" s="6"/>
      <c r="R85" s="6"/>
    </row>
    <row r="86" spans="2:18" s="5" customFormat="1" ht="27" customHeight="1" thickBot="1" x14ac:dyDescent="0.2">
      <c r="B86" s="19" t="s">
        <v>188</v>
      </c>
      <c r="C86" s="268"/>
      <c r="D86" s="269"/>
      <c r="E86" s="269"/>
      <c r="F86" s="269"/>
      <c r="G86" s="269"/>
      <c r="H86" s="270"/>
      <c r="I86" s="9"/>
      <c r="M86" s="6"/>
      <c r="N86" s="6"/>
      <c r="O86" s="6"/>
      <c r="P86" s="6"/>
      <c r="Q86" s="6"/>
      <c r="R86" s="6"/>
    </row>
    <row r="87" spans="2:18" s="5" customFormat="1" ht="27" customHeight="1" thickBot="1" x14ac:dyDescent="0.2">
      <c r="B87" s="26" t="str">
        <f>IF(計算シート!B24=TRUE,"該当あり","")</f>
        <v/>
      </c>
      <c r="C87" s="268"/>
      <c r="D87" s="269"/>
      <c r="E87" s="269"/>
      <c r="F87" s="269"/>
      <c r="G87" s="269"/>
      <c r="H87" s="270"/>
      <c r="I87" s="182" t="str">
        <f>IF(AND(B87="該当あり",C85=""),"特記事項は記入していますか？","")</f>
        <v/>
      </c>
      <c r="J87" s="12"/>
      <c r="M87" s="6"/>
      <c r="N87" s="6"/>
      <c r="O87" s="6"/>
      <c r="P87" s="6"/>
      <c r="Q87" s="6"/>
      <c r="R87" s="6"/>
    </row>
    <row r="88" spans="2:18" s="5" customFormat="1" ht="23.1" customHeight="1" thickBot="1" x14ac:dyDescent="0.2">
      <c r="B88" s="29"/>
      <c r="C88" s="268"/>
      <c r="D88" s="269"/>
      <c r="E88" s="269"/>
      <c r="F88" s="269"/>
      <c r="G88" s="269"/>
      <c r="H88" s="270"/>
      <c r="I88" s="285"/>
      <c r="J88" s="285"/>
      <c r="M88" s="6"/>
      <c r="N88" s="6"/>
      <c r="O88" s="6"/>
      <c r="P88" s="6"/>
      <c r="Q88" s="6"/>
      <c r="R88" s="6"/>
    </row>
    <row r="89" spans="2:18" s="5" customFormat="1" ht="23.1" customHeight="1" thickBot="1" x14ac:dyDescent="0.2">
      <c r="B89" s="30"/>
      <c r="C89" s="268"/>
      <c r="D89" s="269"/>
      <c r="E89" s="269"/>
      <c r="F89" s="269"/>
      <c r="G89" s="269"/>
      <c r="H89" s="270"/>
      <c r="I89" s="9"/>
      <c r="J89" s="9"/>
      <c r="M89" s="6"/>
      <c r="N89" s="6"/>
      <c r="O89" s="6"/>
      <c r="P89" s="6"/>
      <c r="Q89" s="6"/>
      <c r="R89" s="6"/>
    </row>
    <row r="90" spans="2:18" s="5" customFormat="1" ht="23.1" customHeight="1" thickBot="1" x14ac:dyDescent="0.2">
      <c r="B90" s="30"/>
      <c r="C90" s="268"/>
      <c r="D90" s="269"/>
      <c r="E90" s="269"/>
      <c r="F90" s="269"/>
      <c r="G90" s="269"/>
      <c r="H90" s="270"/>
      <c r="I90" s="9"/>
      <c r="J90" s="9"/>
      <c r="M90" s="6"/>
      <c r="N90" s="6"/>
      <c r="O90" s="6"/>
      <c r="P90" s="6"/>
      <c r="Q90" s="6"/>
      <c r="R90" s="6"/>
    </row>
    <row r="91" spans="2:18" s="5" customFormat="1" ht="23.1" customHeight="1" thickBot="1" x14ac:dyDescent="0.2">
      <c r="B91" s="30"/>
      <c r="C91" s="268"/>
      <c r="D91" s="269"/>
      <c r="E91" s="269"/>
      <c r="F91" s="269"/>
      <c r="G91" s="269"/>
      <c r="H91" s="270"/>
      <c r="I91" s="9"/>
      <c r="J91" s="9"/>
      <c r="M91" s="6"/>
      <c r="N91" s="6"/>
      <c r="O91" s="6"/>
      <c r="P91" s="6"/>
      <c r="Q91" s="6"/>
      <c r="R91" s="6"/>
    </row>
    <row r="92" spans="2:18" s="5" customFormat="1" ht="23.1" customHeight="1" thickBot="1" x14ac:dyDescent="0.2">
      <c r="B92" s="31"/>
      <c r="C92" s="271"/>
      <c r="D92" s="272"/>
      <c r="E92" s="272"/>
      <c r="F92" s="272"/>
      <c r="G92" s="272"/>
      <c r="H92" s="273"/>
      <c r="I92" s="9"/>
      <c r="J92" s="9"/>
      <c r="M92" s="6"/>
      <c r="N92" s="6"/>
      <c r="O92" s="6"/>
      <c r="P92" s="6"/>
      <c r="Q92" s="6"/>
      <c r="R92" s="6"/>
    </row>
    <row r="93" spans="2:18" s="5" customFormat="1" ht="20.100000000000001" customHeight="1" thickBot="1" x14ac:dyDescent="0.2">
      <c r="B93" s="6"/>
      <c r="C93" s="6"/>
      <c r="D93" s="6"/>
      <c r="E93" s="6"/>
      <c r="F93" s="6"/>
      <c r="G93" s="6"/>
      <c r="H93" s="6"/>
      <c r="M93" s="6"/>
      <c r="N93" s="6"/>
      <c r="O93" s="6"/>
      <c r="P93" s="6"/>
      <c r="Q93" s="6"/>
      <c r="R93" s="6"/>
    </row>
    <row r="94" spans="2:18" s="5" customFormat="1" ht="27" customHeight="1" thickBot="1" x14ac:dyDescent="0.2">
      <c r="B94" s="8" t="s">
        <v>177</v>
      </c>
      <c r="C94" s="265"/>
      <c r="D94" s="266"/>
      <c r="E94" s="266"/>
      <c r="F94" s="266"/>
      <c r="G94" s="266"/>
      <c r="H94" s="267"/>
      <c r="I94" s="76" t="str">
        <f>IF(C94="","",LEN(C94)&amp;"/120　文字")</f>
        <v/>
      </c>
      <c r="M94" s="6"/>
      <c r="N94" s="6"/>
      <c r="O94" s="6"/>
      <c r="P94" s="6"/>
      <c r="Q94" s="6"/>
      <c r="R94" s="6"/>
    </row>
    <row r="95" spans="2:18" s="5" customFormat="1" ht="27" customHeight="1" thickBot="1" x14ac:dyDescent="0.2">
      <c r="B95" s="17" t="s">
        <v>189</v>
      </c>
      <c r="C95" s="268"/>
      <c r="D95" s="269"/>
      <c r="E95" s="269"/>
      <c r="F95" s="269"/>
      <c r="G95" s="269"/>
      <c r="H95" s="270"/>
      <c r="M95" s="6"/>
      <c r="N95" s="6"/>
      <c r="O95" s="6"/>
      <c r="P95" s="6"/>
      <c r="Q95" s="6"/>
      <c r="R95" s="6"/>
    </row>
    <row r="96" spans="2:18" s="5" customFormat="1" ht="27" customHeight="1" thickBot="1" x14ac:dyDescent="0.2">
      <c r="B96" s="26" t="str">
        <f>IF(計算シート!B25=TRUE,"該当あり","")</f>
        <v/>
      </c>
      <c r="C96" s="268"/>
      <c r="D96" s="269"/>
      <c r="E96" s="269"/>
      <c r="F96" s="269"/>
      <c r="G96" s="269"/>
      <c r="H96" s="270"/>
      <c r="I96" s="180" t="str">
        <f>IF(AND(B96="該当あり",C94=""),"特記事項は記入していますか？","")</f>
        <v/>
      </c>
      <c r="J96" s="12"/>
      <c r="M96" s="6"/>
      <c r="N96" s="6"/>
      <c r="O96" s="6"/>
      <c r="P96" s="6"/>
      <c r="Q96" s="6"/>
      <c r="R96" s="6"/>
    </row>
    <row r="97" spans="2:18" s="5" customFormat="1" ht="23.1" customHeight="1" thickBot="1" x14ac:dyDescent="0.2">
      <c r="B97" s="29"/>
      <c r="C97" s="268"/>
      <c r="D97" s="269"/>
      <c r="E97" s="269"/>
      <c r="F97" s="269"/>
      <c r="G97" s="269"/>
      <c r="H97" s="270"/>
      <c r="I97" s="285"/>
      <c r="J97" s="285"/>
      <c r="M97" s="6"/>
      <c r="N97" s="6"/>
      <c r="O97" s="6"/>
      <c r="P97" s="6"/>
      <c r="Q97" s="6"/>
      <c r="R97" s="6"/>
    </row>
    <row r="98" spans="2:18" s="5" customFormat="1" ht="23.1" customHeight="1" thickBot="1" x14ac:dyDescent="0.2">
      <c r="B98" s="30"/>
      <c r="C98" s="268"/>
      <c r="D98" s="269"/>
      <c r="E98" s="269"/>
      <c r="F98" s="269"/>
      <c r="G98" s="269"/>
      <c r="H98" s="270"/>
      <c r="I98" s="9"/>
      <c r="J98" s="9"/>
      <c r="M98" s="6"/>
      <c r="N98" s="6"/>
      <c r="O98" s="6"/>
      <c r="P98" s="6"/>
      <c r="Q98" s="6"/>
      <c r="R98" s="6"/>
    </row>
    <row r="99" spans="2:18" s="5" customFormat="1" ht="23.1" customHeight="1" thickBot="1" x14ac:dyDescent="0.2">
      <c r="B99" s="30"/>
      <c r="C99" s="268"/>
      <c r="D99" s="269"/>
      <c r="E99" s="269"/>
      <c r="F99" s="269"/>
      <c r="G99" s="269"/>
      <c r="H99" s="270"/>
      <c r="I99" s="9"/>
      <c r="J99" s="9"/>
      <c r="M99" s="6"/>
      <c r="N99" s="6"/>
      <c r="O99" s="6"/>
      <c r="P99" s="6"/>
      <c r="Q99" s="6"/>
      <c r="R99" s="6"/>
    </row>
    <row r="100" spans="2:18" s="5" customFormat="1" ht="23.1" customHeight="1" thickBot="1" x14ac:dyDescent="0.2">
      <c r="B100" s="30"/>
      <c r="C100" s="268"/>
      <c r="D100" s="269"/>
      <c r="E100" s="269"/>
      <c r="F100" s="269"/>
      <c r="G100" s="269"/>
      <c r="H100" s="270"/>
      <c r="I100" s="9"/>
      <c r="J100" s="9"/>
      <c r="M100" s="6"/>
      <c r="N100" s="6"/>
      <c r="O100" s="6"/>
      <c r="P100" s="6"/>
      <c r="Q100" s="6"/>
      <c r="R100" s="6"/>
    </row>
    <row r="101" spans="2:18" s="5" customFormat="1" ht="23.1" customHeight="1" thickBot="1" x14ac:dyDescent="0.2">
      <c r="B101" s="31"/>
      <c r="C101" s="271"/>
      <c r="D101" s="272"/>
      <c r="E101" s="272"/>
      <c r="F101" s="272"/>
      <c r="G101" s="272"/>
      <c r="H101" s="273"/>
      <c r="I101" s="9"/>
      <c r="J101" s="9"/>
      <c r="M101" s="6"/>
      <c r="N101" s="6"/>
      <c r="O101" s="6"/>
      <c r="P101" s="6"/>
      <c r="Q101" s="6"/>
      <c r="R101" s="6"/>
    </row>
    <row r="102" spans="2:18" s="5" customFormat="1" ht="20.100000000000001" customHeight="1" thickBot="1" x14ac:dyDescent="0.2">
      <c r="B102" s="6"/>
      <c r="C102" s="6"/>
      <c r="D102" s="6"/>
      <c r="E102" s="6"/>
      <c r="F102" s="6"/>
      <c r="G102" s="6"/>
      <c r="H102" s="6"/>
      <c r="M102" s="6"/>
      <c r="N102" s="6"/>
      <c r="O102" s="6"/>
      <c r="P102" s="6"/>
      <c r="Q102" s="6"/>
      <c r="R102" s="6"/>
    </row>
    <row r="103" spans="2:18" s="5" customFormat="1" ht="27" customHeight="1" thickBot="1" x14ac:dyDescent="0.2">
      <c r="B103" s="8" t="s">
        <v>178</v>
      </c>
      <c r="C103" s="265"/>
      <c r="D103" s="266"/>
      <c r="E103" s="266"/>
      <c r="F103" s="266"/>
      <c r="G103" s="266"/>
      <c r="H103" s="267"/>
      <c r="I103" s="76" t="str">
        <f>IF(C103="","",LEN(C103)&amp;"/120　文字")</f>
        <v/>
      </c>
      <c r="M103" s="6"/>
      <c r="N103" s="6"/>
      <c r="O103" s="6"/>
      <c r="P103" s="6"/>
      <c r="Q103" s="6"/>
      <c r="R103" s="6"/>
    </row>
    <row r="104" spans="2:18" s="5" customFormat="1" ht="27" customHeight="1" thickBot="1" x14ac:dyDescent="0.2">
      <c r="B104" s="19" t="s">
        <v>190</v>
      </c>
      <c r="C104" s="268"/>
      <c r="D104" s="269"/>
      <c r="E104" s="269"/>
      <c r="F104" s="269"/>
      <c r="G104" s="269"/>
      <c r="H104" s="270"/>
      <c r="I104" s="180" t="str">
        <f>IF(AND(B105="該当あり",C103=""),"特記事項は記入していますか？","")</f>
        <v/>
      </c>
      <c r="M104" s="6"/>
      <c r="N104" s="6"/>
      <c r="O104" s="6"/>
      <c r="P104" s="6"/>
      <c r="Q104" s="6"/>
      <c r="R104" s="6"/>
    </row>
    <row r="105" spans="2:18" s="5" customFormat="1" ht="27" customHeight="1" thickBot="1" x14ac:dyDescent="0.2">
      <c r="B105" s="26" t="str">
        <f>IF(計算シート!B26=TRUE,"該当あり","")</f>
        <v/>
      </c>
      <c r="C105" s="268"/>
      <c r="D105" s="269"/>
      <c r="E105" s="269"/>
      <c r="F105" s="269"/>
      <c r="G105" s="269"/>
      <c r="H105" s="270"/>
      <c r="I105" s="11"/>
      <c r="J105" s="12"/>
      <c r="M105" s="6"/>
      <c r="N105" s="6"/>
      <c r="O105" s="6"/>
      <c r="P105" s="6"/>
      <c r="Q105" s="6"/>
      <c r="R105" s="6"/>
    </row>
    <row r="106" spans="2:18" s="5" customFormat="1" ht="23.1" customHeight="1" thickBot="1" x14ac:dyDescent="0.2">
      <c r="B106" s="29"/>
      <c r="C106" s="268"/>
      <c r="D106" s="269"/>
      <c r="E106" s="269"/>
      <c r="F106" s="269"/>
      <c r="G106" s="269"/>
      <c r="H106" s="270"/>
      <c r="I106" s="285"/>
      <c r="J106" s="285"/>
      <c r="M106" s="6"/>
      <c r="N106" s="6"/>
      <c r="O106" s="6"/>
      <c r="P106" s="6"/>
      <c r="Q106" s="6"/>
      <c r="R106" s="6"/>
    </row>
    <row r="107" spans="2:18" s="5" customFormat="1" ht="23.1" customHeight="1" thickBot="1" x14ac:dyDescent="0.2">
      <c r="B107" s="30"/>
      <c r="C107" s="268"/>
      <c r="D107" s="269"/>
      <c r="E107" s="269"/>
      <c r="F107" s="269"/>
      <c r="G107" s="269"/>
      <c r="H107" s="270"/>
      <c r="I107" s="9"/>
      <c r="J107" s="9"/>
      <c r="M107" s="6"/>
      <c r="N107" s="6"/>
      <c r="O107" s="6"/>
      <c r="P107" s="6"/>
      <c r="Q107" s="6"/>
      <c r="R107" s="6"/>
    </row>
    <row r="108" spans="2:18" s="5" customFormat="1" ht="23.1" customHeight="1" thickBot="1" x14ac:dyDescent="0.2">
      <c r="B108" s="30"/>
      <c r="C108" s="268"/>
      <c r="D108" s="269"/>
      <c r="E108" s="269"/>
      <c r="F108" s="269"/>
      <c r="G108" s="269"/>
      <c r="H108" s="270"/>
      <c r="I108" s="9"/>
      <c r="J108" s="9"/>
      <c r="M108" s="6"/>
      <c r="N108" s="6"/>
      <c r="O108" s="6"/>
      <c r="P108" s="6"/>
      <c r="Q108" s="6"/>
      <c r="R108" s="6"/>
    </row>
    <row r="109" spans="2:18" s="5" customFormat="1" ht="23.1" customHeight="1" thickBot="1" x14ac:dyDescent="0.2">
      <c r="B109" s="30"/>
      <c r="C109" s="268"/>
      <c r="D109" s="269"/>
      <c r="E109" s="269"/>
      <c r="F109" s="269"/>
      <c r="G109" s="269"/>
      <c r="H109" s="270"/>
      <c r="I109" s="9"/>
      <c r="J109" s="9"/>
      <c r="M109" s="6"/>
      <c r="N109" s="6"/>
      <c r="O109" s="6"/>
      <c r="P109" s="6"/>
      <c r="Q109" s="6"/>
      <c r="R109" s="6"/>
    </row>
    <row r="110" spans="2:18" s="5" customFormat="1" ht="23.1" customHeight="1" thickBot="1" x14ac:dyDescent="0.2">
      <c r="B110" s="31"/>
      <c r="C110" s="271"/>
      <c r="D110" s="272"/>
      <c r="E110" s="272"/>
      <c r="F110" s="272"/>
      <c r="G110" s="272"/>
      <c r="H110" s="273"/>
      <c r="I110" s="9"/>
      <c r="J110" s="9"/>
      <c r="M110" s="6"/>
      <c r="N110" s="6"/>
      <c r="O110" s="6"/>
      <c r="P110" s="6"/>
      <c r="Q110" s="6"/>
      <c r="R110" s="6"/>
    </row>
    <row r="112" spans="2:18"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sheetData>
  <sheetProtection password="C7C4" sheet="1" objects="1" scenarios="1" selectLockedCells="1"/>
  <mergeCells count="36">
    <mergeCell ref="L7:L11"/>
    <mergeCell ref="L16:L20"/>
    <mergeCell ref="M1:R1"/>
    <mergeCell ref="M4:R11"/>
    <mergeCell ref="M13:R20"/>
    <mergeCell ref="M2:N3"/>
    <mergeCell ref="O2:P3"/>
    <mergeCell ref="Q2:R3"/>
    <mergeCell ref="C94:H101"/>
    <mergeCell ref="I97:J97"/>
    <mergeCell ref="C103:H110"/>
    <mergeCell ref="I106:J106"/>
    <mergeCell ref="C76:H83"/>
    <mergeCell ref="I79:J79"/>
    <mergeCell ref="C85:H92"/>
    <mergeCell ref="I88:J88"/>
    <mergeCell ref="C58:H65"/>
    <mergeCell ref="I61:J61"/>
    <mergeCell ref="C67:H74"/>
    <mergeCell ref="I70:J70"/>
    <mergeCell ref="C40:H47"/>
    <mergeCell ref="I43:J43"/>
    <mergeCell ref="C49:H56"/>
    <mergeCell ref="I52:J52"/>
    <mergeCell ref="C22:H29"/>
    <mergeCell ref="I25:J25"/>
    <mergeCell ref="C31:H38"/>
    <mergeCell ref="I34:J34"/>
    <mergeCell ref="C1:H1"/>
    <mergeCell ref="C4:H11"/>
    <mergeCell ref="I7:J7"/>
    <mergeCell ref="C13:H20"/>
    <mergeCell ref="I16:J16"/>
    <mergeCell ref="C2:D3"/>
    <mergeCell ref="E2:F3"/>
    <mergeCell ref="G2:H3"/>
  </mergeCells>
  <phoneticPr fontId="1"/>
  <conditionalFormatting sqref="C4:H11">
    <cfRule type="expression" dxfId="16" priority="18">
      <formula>AND($B$6="該当あり",$C$4="")</formula>
    </cfRule>
  </conditionalFormatting>
  <conditionalFormatting sqref="C13:H20">
    <cfRule type="expression" dxfId="15" priority="17">
      <formula>AND($B$15="該当あり",$C$13="")</formula>
    </cfRule>
  </conditionalFormatting>
  <conditionalFormatting sqref="C22:H29">
    <cfRule type="expression" dxfId="14" priority="16">
      <formula>AND($B$24="該当あり",$C$22="")</formula>
    </cfRule>
  </conditionalFormatting>
  <conditionalFormatting sqref="C31:H38">
    <cfRule type="expression" dxfId="13" priority="15">
      <formula>AND($B$33="該当あり",$C$31="")</formula>
    </cfRule>
  </conditionalFormatting>
  <conditionalFormatting sqref="C40:H47">
    <cfRule type="expression" dxfId="12" priority="12">
      <formula>AND($B$42="該当あり",$C$40="")</formula>
    </cfRule>
  </conditionalFormatting>
  <conditionalFormatting sqref="C49:H56">
    <cfRule type="expression" dxfId="11" priority="11">
      <formula>AND($B$51="該当あり",$C$49="")</formula>
    </cfRule>
  </conditionalFormatting>
  <conditionalFormatting sqref="C58:H65">
    <cfRule type="expression" dxfId="10" priority="10">
      <formula>AND($B$60="該当あり",$C$58="")</formula>
    </cfRule>
  </conditionalFormatting>
  <conditionalFormatting sqref="C67:H74">
    <cfRule type="expression" dxfId="9" priority="9">
      <formula>AND($B$69="該当あり",$C$67="")</formula>
    </cfRule>
  </conditionalFormatting>
  <conditionalFormatting sqref="C76:H83">
    <cfRule type="expression" dxfId="8" priority="8">
      <formula>AND($B$78="該当あり",$C$76="")</formula>
    </cfRule>
  </conditionalFormatting>
  <conditionalFormatting sqref="C85:H92">
    <cfRule type="expression" dxfId="7" priority="7">
      <formula>AND($B$87="該当あり",$C$85="")</formula>
    </cfRule>
  </conditionalFormatting>
  <conditionalFormatting sqref="C94:H101">
    <cfRule type="expression" dxfId="6" priority="6">
      <formula>AND($B$96="該当あり",$C$94="")</formula>
    </cfRule>
  </conditionalFormatting>
  <conditionalFormatting sqref="C103:H110">
    <cfRule type="expression" dxfId="5" priority="5">
      <formula>AND($B$105="該当あり",$C$103="")</formula>
    </cfRule>
  </conditionalFormatting>
  <conditionalFormatting sqref="L7:L11">
    <cfRule type="expression" dxfId="4" priority="4">
      <formula>$L$7=""</formula>
    </cfRule>
  </conditionalFormatting>
  <conditionalFormatting sqref="L16:L20">
    <cfRule type="expression" dxfId="3" priority="3">
      <formula>$L$16=""</formula>
    </cfRule>
  </conditionalFormatting>
  <conditionalFormatting sqref="M4:R11">
    <cfRule type="expression" dxfId="2" priority="2">
      <formula>$M$4=""</formula>
    </cfRule>
  </conditionalFormatting>
  <conditionalFormatting sqref="M13:R20">
    <cfRule type="expression" dxfId="1" priority="1">
      <formula>$M$13=""</formula>
    </cfRule>
  </conditionalFormatting>
  <dataValidations count="3">
    <dataValidation type="list" imeMode="halfAlpha" allowBlank="1" showInputMessage="1" showErrorMessage="1" sqref="L7:L11" xr:uid="{00000000-0002-0000-0600-000000000000}">
      <formula1>"自立,J1,J2,A1,A2,B1,B2,C1,C2"</formula1>
    </dataValidation>
    <dataValidation type="list" imeMode="halfAlpha" allowBlank="1" showInputMessage="1" showErrorMessage="1" sqref="L16:L20" xr:uid="{00000000-0002-0000-0600-000001000000}">
      <formula1>"自立,Ⅰ,Ⅱa,Ⅱb,Ⅲa,Ⅲb,Ⅳ,M"</formula1>
    </dataValidation>
    <dataValidation type="textLength" imeMode="hiragana" operator="lessThanOrEqual" allowBlank="1" showInputMessage="1" showErrorMessage="1" sqref="M13:R20 C4:H11 C13:H20 C22:H29 C31:H38 C40:H47 C49:H56 C58:H65 C67:H74 C76:H83 C85:H92 C94:H101 C103:H110 M4:R11" xr:uid="{00000000-0002-0000-0600-000002000000}">
      <formula1>120</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defaultSize="0" autoFill="0" autoLine="0" autoPict="0">
                <anchor moveWithCells="1">
                  <from>
                    <xdr:col>1</xdr:col>
                    <xdr:colOff>247650</xdr:colOff>
                    <xdr:row>7</xdr:row>
                    <xdr:rowOff>190500</xdr:rowOff>
                  </from>
                  <to>
                    <xdr:col>1</xdr:col>
                    <xdr:colOff>552450</xdr:colOff>
                    <xdr:row>9</xdr:row>
                    <xdr:rowOff>85725</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1</xdr:col>
                    <xdr:colOff>247650</xdr:colOff>
                    <xdr:row>16</xdr:row>
                    <xdr:rowOff>180975</xdr:rowOff>
                  </from>
                  <to>
                    <xdr:col>1</xdr:col>
                    <xdr:colOff>552450</xdr:colOff>
                    <xdr:row>18</xdr:row>
                    <xdr:rowOff>76200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xdr:col>
                    <xdr:colOff>247650</xdr:colOff>
                    <xdr:row>25</xdr:row>
                    <xdr:rowOff>171450</xdr:rowOff>
                  </from>
                  <to>
                    <xdr:col>1</xdr:col>
                    <xdr:colOff>552450</xdr:colOff>
                    <xdr:row>27</xdr:row>
                    <xdr:rowOff>66675</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1</xdr:col>
                    <xdr:colOff>247650</xdr:colOff>
                    <xdr:row>34</xdr:row>
                    <xdr:rowOff>171450</xdr:rowOff>
                  </from>
                  <to>
                    <xdr:col>1</xdr:col>
                    <xdr:colOff>552450</xdr:colOff>
                    <xdr:row>36</xdr:row>
                    <xdr:rowOff>57150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xdr:col>
                    <xdr:colOff>247650</xdr:colOff>
                    <xdr:row>43</xdr:row>
                    <xdr:rowOff>180975</xdr:rowOff>
                  </from>
                  <to>
                    <xdr:col>1</xdr:col>
                    <xdr:colOff>552450</xdr:colOff>
                    <xdr:row>45</xdr:row>
                    <xdr:rowOff>76200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1</xdr:col>
                    <xdr:colOff>247650</xdr:colOff>
                    <xdr:row>52</xdr:row>
                    <xdr:rowOff>171450</xdr:rowOff>
                  </from>
                  <to>
                    <xdr:col>1</xdr:col>
                    <xdr:colOff>552450</xdr:colOff>
                    <xdr:row>54</xdr:row>
                    <xdr:rowOff>57150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1</xdr:col>
                    <xdr:colOff>247650</xdr:colOff>
                    <xdr:row>61</xdr:row>
                    <xdr:rowOff>152400</xdr:rowOff>
                  </from>
                  <to>
                    <xdr:col>1</xdr:col>
                    <xdr:colOff>552450</xdr:colOff>
                    <xdr:row>63</xdr:row>
                    <xdr:rowOff>47625</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1</xdr:col>
                    <xdr:colOff>247650</xdr:colOff>
                    <xdr:row>70</xdr:row>
                    <xdr:rowOff>171450</xdr:rowOff>
                  </from>
                  <to>
                    <xdr:col>1</xdr:col>
                    <xdr:colOff>552450</xdr:colOff>
                    <xdr:row>72</xdr:row>
                    <xdr:rowOff>66675</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from>
                    <xdr:col>1</xdr:col>
                    <xdr:colOff>247650</xdr:colOff>
                    <xdr:row>79</xdr:row>
                    <xdr:rowOff>190500</xdr:rowOff>
                  </from>
                  <to>
                    <xdr:col>1</xdr:col>
                    <xdr:colOff>552450</xdr:colOff>
                    <xdr:row>81</xdr:row>
                    <xdr:rowOff>85725</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1</xdr:col>
                    <xdr:colOff>247650</xdr:colOff>
                    <xdr:row>88</xdr:row>
                    <xdr:rowOff>190500</xdr:rowOff>
                  </from>
                  <to>
                    <xdr:col>1</xdr:col>
                    <xdr:colOff>552450</xdr:colOff>
                    <xdr:row>90</xdr:row>
                    <xdr:rowOff>85725</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1</xdr:col>
                    <xdr:colOff>247650</xdr:colOff>
                    <xdr:row>97</xdr:row>
                    <xdr:rowOff>171450</xdr:rowOff>
                  </from>
                  <to>
                    <xdr:col>1</xdr:col>
                    <xdr:colOff>552450</xdr:colOff>
                    <xdr:row>99</xdr:row>
                    <xdr:rowOff>57150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1</xdr:col>
                    <xdr:colOff>247650</xdr:colOff>
                    <xdr:row>106</xdr:row>
                    <xdr:rowOff>190500</xdr:rowOff>
                  </from>
                  <to>
                    <xdr:col>1</xdr:col>
                    <xdr:colOff>552450</xdr:colOff>
                    <xdr:row>108</xdr:row>
                    <xdr:rowOff>85725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Z83"/>
  <sheetViews>
    <sheetView workbookViewId="0">
      <selection activeCell="Q32" sqref="Q32"/>
    </sheetView>
  </sheetViews>
  <sheetFormatPr defaultRowHeight="13.5" x14ac:dyDescent="0.15"/>
  <cols>
    <col min="1" max="1" width="9.875" bestFit="1" customWidth="1"/>
    <col min="2" max="2" width="11.625" bestFit="1" customWidth="1"/>
    <col min="6" max="6" width="23" bestFit="1" customWidth="1"/>
    <col min="7" max="7" width="26.375" bestFit="1" customWidth="1"/>
    <col min="8" max="12" width="4.625" customWidth="1"/>
  </cols>
  <sheetData>
    <row r="1" spans="1:26" ht="14.25" thickBot="1" x14ac:dyDescent="0.2">
      <c r="A1" s="28" t="s">
        <v>196</v>
      </c>
      <c r="B1" s="28" t="s">
        <v>197</v>
      </c>
      <c r="C1" s="28" t="s">
        <v>297</v>
      </c>
      <c r="D1" s="39"/>
      <c r="F1" s="62" t="s">
        <v>293</v>
      </c>
      <c r="G1" s="62" t="s">
        <v>294</v>
      </c>
      <c r="H1" s="293" t="s">
        <v>295</v>
      </c>
      <c r="I1" s="293"/>
      <c r="J1" s="293"/>
      <c r="K1" s="293"/>
      <c r="L1" s="293"/>
      <c r="M1" s="62" t="s">
        <v>296</v>
      </c>
      <c r="N1" s="133" t="s">
        <v>389</v>
      </c>
      <c r="O1" s="132" t="s">
        <v>388</v>
      </c>
      <c r="P1" s="310" t="s">
        <v>316</v>
      </c>
      <c r="Q1" s="22">
        <f>IF(LEN(基本情報!$B$2)&gt;=10,MID(基本情報!$B$2,LEN(基本情報!$B$2)-9,1),0)</f>
        <v>0</v>
      </c>
      <c r="R1" s="22">
        <f>IF(LEN(基本情報!$B$2)&gt;=9,MID(基本情報!$B$2,LEN(基本情報!$B$2)-8,1),0)</f>
        <v>0</v>
      </c>
      <c r="S1" s="22">
        <f>IF(LEN(基本情報!$B$2)&gt;=8,MID(基本情報!$B$2,LEN(基本情報!$B$2)-7,1),0)</f>
        <v>0</v>
      </c>
      <c r="T1" s="22">
        <f>IF(LEN(基本情報!$B$2)&gt;=7,MID(基本情報!$B$2,LEN(基本情報!$B$2)-6,1),0)</f>
        <v>0</v>
      </c>
      <c r="U1" s="22">
        <f>IF(LEN(基本情報!$B$2)&gt;=6,MID(基本情報!$B$2,LEN(基本情報!$B$2)-5,1),0)</f>
        <v>0</v>
      </c>
      <c r="V1" s="22">
        <f>IF(LEN(基本情報!$B$2)&gt;=5,MID(基本情報!$B$2,LEN(基本情報!$B$2)-4,1),0)</f>
        <v>0</v>
      </c>
      <c r="W1" s="22">
        <f>IF(LEN(基本情報!$B$2)&gt;=4,MID(基本情報!$B$2,LEN(基本情報!$B$2)-3,1),0)</f>
        <v>0</v>
      </c>
      <c r="X1" s="22">
        <f>IF(LEN(基本情報!$B$2)&gt;=3,MID(基本情報!$B$2,LEN(基本情報!$B$2)-2,1),0)</f>
        <v>0</v>
      </c>
      <c r="Y1" s="22">
        <f>IF(LEN(基本情報!$B$2)&gt;=2,MID(基本情報!$B$2,LEN(基本情報!$B$2)-1,1),0)</f>
        <v>0</v>
      </c>
      <c r="Z1" s="22">
        <f>IF(LEN(基本情報!$B$2)&gt;=1,MID(基本情報!$B$2,LEN(基本情報!$B$2),1),0)</f>
        <v>0</v>
      </c>
    </row>
    <row r="2" spans="1:26" x14ac:dyDescent="0.15">
      <c r="A2" s="28" t="s">
        <v>198</v>
      </c>
      <c r="B2" s="22" t="b">
        <v>0</v>
      </c>
      <c r="C2" s="22" t="str">
        <f>IF(B2=TRUE,"レ","")</f>
        <v/>
      </c>
      <c r="D2" s="39"/>
      <c r="E2">
        <f>IF(M2="",0,1)</f>
        <v>0</v>
      </c>
      <c r="F2" s="67" t="s">
        <v>327</v>
      </c>
      <c r="G2" s="63" t="s">
        <v>327</v>
      </c>
      <c r="H2" s="65"/>
      <c r="I2" s="55"/>
      <c r="J2" s="55"/>
      <c r="K2" s="55"/>
      <c r="L2" s="55"/>
      <c r="M2" s="73" t="str">
        <f>IF(基本情報!W3="","",CLEAN(基本情報!W3))</f>
        <v/>
      </c>
      <c r="N2" s="6"/>
      <c r="O2" s="80">
        <f>LEN(M2)</f>
        <v>0</v>
      </c>
      <c r="P2" s="311"/>
      <c r="Q2" s="308" t="str">
        <f>CONCATENATE(Q1,R1,S1)</f>
        <v>000</v>
      </c>
      <c r="R2" s="309"/>
      <c r="S2" s="308" t="str">
        <f>CONCATENATE(T1,U1,V1)</f>
        <v>000</v>
      </c>
      <c r="T2" s="309"/>
      <c r="U2" s="308" t="str">
        <f>CONCATENATE(W1,X1,Y1,Z1)</f>
        <v>0000</v>
      </c>
      <c r="V2" s="309"/>
      <c r="W2" s="39"/>
      <c r="X2" s="39"/>
    </row>
    <row r="3" spans="1:26" ht="14.25" thickBot="1" x14ac:dyDescent="0.2">
      <c r="A3" s="28" t="s">
        <v>199</v>
      </c>
      <c r="B3" s="22" t="b">
        <v>0</v>
      </c>
      <c r="C3" s="22" t="str">
        <f>IF(B3=TRUE,"レ","")</f>
        <v/>
      </c>
      <c r="D3" s="39"/>
      <c r="E3">
        <f>IF(M3="",0,MAX(E2)+1)</f>
        <v>0</v>
      </c>
      <c r="F3" s="68" t="s">
        <v>327</v>
      </c>
      <c r="G3" s="64" t="s">
        <v>327</v>
      </c>
      <c r="H3" s="66"/>
      <c r="I3" s="59"/>
      <c r="J3" s="59"/>
      <c r="K3" s="59"/>
      <c r="L3" s="59"/>
      <c r="M3" s="74" t="str">
        <f>IF(基本情報!W13="","",CLEAN(基本情報!W13))</f>
        <v/>
      </c>
      <c r="N3" s="6"/>
      <c r="O3" s="80">
        <f>LEN(M3)</f>
        <v>0</v>
      </c>
    </row>
    <row r="4" spans="1:26" x14ac:dyDescent="0.15">
      <c r="A4" s="28" t="s">
        <v>200</v>
      </c>
      <c r="B4" s="22" t="b">
        <v>0</v>
      </c>
      <c r="C4" s="22" t="str">
        <f>IF(B4=TRUE,"レ","")</f>
        <v/>
      </c>
      <c r="D4" s="39"/>
      <c r="E4">
        <f>IF(M4="",0,MAX($E$2:E3)+1)</f>
        <v>0</v>
      </c>
      <c r="F4" s="40" t="s">
        <v>286</v>
      </c>
      <c r="G4" s="41" t="s">
        <v>221</v>
      </c>
      <c r="H4" s="54">
        <f>COUNTIF(B2:B6,TRUE)</f>
        <v>0</v>
      </c>
      <c r="I4" s="55"/>
      <c r="J4" s="55"/>
      <c r="K4" s="55"/>
      <c r="L4" s="55"/>
      <c r="M4" s="51" t="str">
        <f>IF(第１群!C4="","",CLEAN(第１群!C4))</f>
        <v/>
      </c>
      <c r="N4" s="80">
        <f>IF(H4&gt;=1,1,0)</f>
        <v>0</v>
      </c>
      <c r="O4" s="80">
        <f>LEN(M4)</f>
        <v>0</v>
      </c>
    </row>
    <row r="5" spans="1:26" x14ac:dyDescent="0.15">
      <c r="A5" s="28" t="s">
        <v>201</v>
      </c>
      <c r="B5" s="22" t="b">
        <v>0</v>
      </c>
      <c r="C5" s="22" t="str">
        <f>IF(B5=TRUE,"レ","")</f>
        <v/>
      </c>
      <c r="D5" s="39"/>
      <c r="E5">
        <f>IF(M5="",0,MAX($E$2:E4)+1)</f>
        <v>0</v>
      </c>
      <c r="F5" s="42" t="s">
        <v>286</v>
      </c>
      <c r="G5" s="37" t="s">
        <v>222</v>
      </c>
      <c r="H5" s="56">
        <f>COUNTIF(B9:B12,TRUE)</f>
        <v>0</v>
      </c>
      <c r="I5" s="57"/>
      <c r="J5" s="57"/>
      <c r="K5" s="57"/>
      <c r="L5" s="57"/>
      <c r="M5" s="52" t="str">
        <f>IF(第１群!C13="","",CLEAN(第１群!C13))</f>
        <v/>
      </c>
      <c r="N5" s="80">
        <f>IF(H5&gt;=1,1,0)</f>
        <v>0</v>
      </c>
      <c r="O5" s="80">
        <f t="shared" ref="O5:O68" si="0">LEN(M5)</f>
        <v>0</v>
      </c>
      <c r="Y5" s="39"/>
    </row>
    <row r="6" spans="1:26" x14ac:dyDescent="0.15">
      <c r="A6" s="28" t="s">
        <v>202</v>
      </c>
      <c r="B6" s="22" t="b">
        <v>0</v>
      </c>
      <c r="C6" s="22" t="str">
        <f>IF(B6=TRUE,"レ","")</f>
        <v/>
      </c>
      <c r="D6" s="39"/>
      <c r="E6">
        <f>IF(M6="",0,MAX($E$2:E5)+1)</f>
        <v>0</v>
      </c>
      <c r="F6" s="42" t="s">
        <v>286</v>
      </c>
      <c r="G6" s="37" t="s">
        <v>223</v>
      </c>
      <c r="H6" s="22" t="str">
        <f>IF(第１群!$B25=1,"レ","")</f>
        <v/>
      </c>
      <c r="I6" s="22" t="str">
        <f>IF(第１群!$B25=2,"レ","")</f>
        <v/>
      </c>
      <c r="J6" s="22" t="str">
        <f>IF(第１群!$B25=3,"レ","")</f>
        <v/>
      </c>
      <c r="K6" s="57"/>
      <c r="L6" s="57"/>
      <c r="M6" s="52" t="str">
        <f>IF(第１群!C22="","",CLEAN(第１群!C22))</f>
        <v/>
      </c>
      <c r="N6" s="80">
        <f>COUNTIF(I6:L6,"レ")</f>
        <v>0</v>
      </c>
      <c r="O6" s="80">
        <f t="shared" si="0"/>
        <v>0</v>
      </c>
    </row>
    <row r="7" spans="1:26" x14ac:dyDescent="0.15">
      <c r="E7">
        <f>IF(M7="",0,MAX($E$2:E6)+1)</f>
        <v>0</v>
      </c>
      <c r="F7" s="42" t="s">
        <v>286</v>
      </c>
      <c r="G7" s="37" t="s">
        <v>224</v>
      </c>
      <c r="H7" s="22" t="str">
        <f>IF(第１群!$B34=1,"レ","")</f>
        <v/>
      </c>
      <c r="I7" s="22" t="str">
        <f>IF(第１群!$B34=2,"レ","")</f>
        <v/>
      </c>
      <c r="J7" s="22" t="str">
        <f>IF(第１群!$B34=3,"レ","")</f>
        <v/>
      </c>
      <c r="K7" s="57"/>
      <c r="L7" s="57"/>
      <c r="M7" s="52" t="str">
        <f>IF(第１群!C31="","",CLEAN(第１群!C31))</f>
        <v/>
      </c>
      <c r="N7" s="80">
        <f t="shared" ref="N7:N58" si="1">COUNTIF(I7:L7,"レ")</f>
        <v>0</v>
      </c>
      <c r="O7" s="80">
        <f t="shared" si="0"/>
        <v>0</v>
      </c>
      <c r="Y7" s="39"/>
    </row>
    <row r="8" spans="1:26" x14ac:dyDescent="0.15">
      <c r="A8" s="28" t="s">
        <v>196</v>
      </c>
      <c r="B8" s="28" t="s">
        <v>203</v>
      </c>
      <c r="C8" s="28" t="s">
        <v>297</v>
      </c>
      <c r="D8" s="39"/>
      <c r="E8">
        <f>IF(M8="",0,MAX($E$2:E7)+1)</f>
        <v>0</v>
      </c>
      <c r="F8" s="42" t="s">
        <v>286</v>
      </c>
      <c r="G8" s="37" t="s">
        <v>225</v>
      </c>
      <c r="H8" s="22" t="str">
        <f>IF(第１群!$B43=1,"レ","")</f>
        <v/>
      </c>
      <c r="I8" s="22" t="str">
        <f>IF(第１群!$B43=2,"レ","")</f>
        <v/>
      </c>
      <c r="J8" s="22" t="str">
        <f>IF(第１群!$B43=3,"レ","")</f>
        <v/>
      </c>
      <c r="K8" s="22" t="str">
        <f>IF(第１群!$B43=4,"レ","")</f>
        <v/>
      </c>
      <c r="L8" s="57"/>
      <c r="M8" s="52" t="str">
        <f>IF(第１群!C40="","",CLEAN(第１群!C40))</f>
        <v/>
      </c>
      <c r="N8" s="80">
        <f t="shared" si="1"/>
        <v>0</v>
      </c>
      <c r="O8" s="80">
        <f t="shared" si="0"/>
        <v>0</v>
      </c>
      <c r="Y8" s="39"/>
    </row>
    <row r="9" spans="1:26" x14ac:dyDescent="0.15">
      <c r="A9" s="28" t="s">
        <v>204</v>
      </c>
      <c r="B9" s="22" t="b">
        <v>0</v>
      </c>
      <c r="C9" s="22" t="str">
        <f>IF(B9=TRUE,"レ","")</f>
        <v/>
      </c>
      <c r="D9" s="39"/>
      <c r="E9">
        <f>IF(M9="",0,MAX($E$2:E8)+1)</f>
        <v>0</v>
      </c>
      <c r="F9" s="42" t="s">
        <v>286</v>
      </c>
      <c r="G9" s="37" t="s">
        <v>382</v>
      </c>
      <c r="H9" s="22" t="str">
        <f>IF(第１群!$B52=1,"レ","")</f>
        <v/>
      </c>
      <c r="I9" s="22" t="str">
        <f>IF(第１群!$B52=2,"レ","")</f>
        <v/>
      </c>
      <c r="J9" s="22" t="str">
        <f>IF(第１群!$B52=3,"レ","")</f>
        <v/>
      </c>
      <c r="K9" s="57"/>
      <c r="L9" s="57"/>
      <c r="M9" s="52" t="str">
        <f>IF(第１群!C49="","",CLEAN(第１群!C49))</f>
        <v/>
      </c>
      <c r="N9" s="80">
        <f t="shared" si="1"/>
        <v>0</v>
      </c>
      <c r="O9" s="80">
        <f t="shared" si="0"/>
        <v>0</v>
      </c>
    </row>
    <row r="10" spans="1:26" x14ac:dyDescent="0.15">
      <c r="A10" s="28" t="s">
        <v>205</v>
      </c>
      <c r="B10" s="22" t="b">
        <v>0</v>
      </c>
      <c r="C10" s="22" t="str">
        <f>IF(B10=TRUE,"レ","")</f>
        <v/>
      </c>
      <c r="D10" s="39"/>
      <c r="E10">
        <f>IF(M10="",0,MAX($E$2:E9)+1)</f>
        <v>0</v>
      </c>
      <c r="F10" s="42" t="s">
        <v>286</v>
      </c>
      <c r="G10" s="37" t="s">
        <v>226</v>
      </c>
      <c r="H10" s="22" t="str">
        <f>IF(第１群!$B61=1,"レ","")</f>
        <v/>
      </c>
      <c r="I10" s="22" t="str">
        <f>IF(第１群!$B61=2,"レ","")</f>
        <v/>
      </c>
      <c r="J10" s="22" t="str">
        <f>IF(第１群!$B61=3,"レ","")</f>
        <v/>
      </c>
      <c r="K10" s="57"/>
      <c r="L10" s="57"/>
      <c r="M10" s="52" t="str">
        <f>IF(第１群!C58="","",CLEAN(第１群!C58))</f>
        <v/>
      </c>
      <c r="N10" s="80">
        <f t="shared" si="1"/>
        <v>0</v>
      </c>
      <c r="O10" s="80">
        <f t="shared" si="0"/>
        <v>0</v>
      </c>
      <c r="P10" s="310" t="s">
        <v>427</v>
      </c>
      <c r="Q10" s="22">
        <f>IF(LEN(基本情報!$B$16)&gt;=8,MID(基本情報!$B$16,LEN(基本情報!$B$16)-7,1),0)</f>
        <v>0</v>
      </c>
      <c r="R10" s="22">
        <f>IF(LEN(基本情報!$B$16)&gt;=7,MID(基本情報!$B$16,LEN(基本情報!$B$16)-6,1),0)</f>
        <v>0</v>
      </c>
      <c r="S10" s="22">
        <f>IF(LEN(基本情報!$B$16)&gt;=6,MID(基本情報!$B$16,LEN(基本情報!$B$16)-5,1),0)</f>
        <v>0</v>
      </c>
      <c r="T10" s="22">
        <f>IF(LEN(基本情報!$B$16)&gt;=5,MID(基本情報!$B$16,LEN(基本情報!$B$16)-4,1),0)</f>
        <v>0</v>
      </c>
      <c r="U10" s="22">
        <f>IF(LEN(基本情報!$B$16)&gt;=4,MID(基本情報!$B$16,LEN(基本情報!$B$16)-3,1),0)</f>
        <v>0</v>
      </c>
      <c r="V10" s="22">
        <f>IF(LEN(基本情報!$B$16)&gt;=3,MID(基本情報!$B$16,LEN(基本情報!$B$16)-2,1),0)</f>
        <v>0</v>
      </c>
      <c r="W10" s="22">
        <f>IF(LEN(基本情報!$B$16)&gt;=2,MID(基本情報!$B$16,LEN(基本情報!$B$16)-1,1),0)</f>
        <v>0</v>
      </c>
      <c r="X10" s="22">
        <f>IF(LEN(基本情報!$B$16)&gt;=1,MID(基本情報!$B$16,LEN(基本情報!$B$16),1),0)</f>
        <v>0</v>
      </c>
    </row>
    <row r="11" spans="1:26" x14ac:dyDescent="0.15">
      <c r="A11" s="28" t="s">
        <v>206</v>
      </c>
      <c r="B11" s="22" t="b">
        <v>0</v>
      </c>
      <c r="C11" s="22" t="str">
        <f>IF(B11=TRUE,"レ","")</f>
        <v/>
      </c>
      <c r="D11" s="39"/>
      <c r="E11">
        <f>IF(M11="",0,MAX($E$2:E10)+1)</f>
        <v>0</v>
      </c>
      <c r="F11" s="42" t="s">
        <v>286</v>
      </c>
      <c r="G11" s="37" t="s">
        <v>227</v>
      </c>
      <c r="H11" s="22" t="str">
        <f>IF(第１群!$B70=1,"レ","")</f>
        <v/>
      </c>
      <c r="I11" s="22" t="str">
        <f>IF(第１群!$B70=2,"レ","")</f>
        <v/>
      </c>
      <c r="J11" s="22" t="str">
        <f>IF(第１群!$B70=3,"レ","")</f>
        <v/>
      </c>
      <c r="K11" s="57"/>
      <c r="L11" s="57"/>
      <c r="M11" s="52" t="str">
        <f>IF(第１群!C67="","",CLEAN(第１群!C67))</f>
        <v/>
      </c>
      <c r="N11" s="80">
        <f t="shared" si="1"/>
        <v>0</v>
      </c>
      <c r="O11" s="80">
        <f t="shared" si="0"/>
        <v>0</v>
      </c>
      <c r="P11" s="311"/>
      <c r="Q11" s="312" t="str">
        <f>CONCATENATE(Q10,R10,S10)</f>
        <v>000</v>
      </c>
      <c r="R11" s="312"/>
      <c r="S11" s="312"/>
      <c r="T11" s="312" t="str">
        <f>CONCATENATE(T10,U10,V10)</f>
        <v>000</v>
      </c>
      <c r="U11" s="312"/>
      <c r="V11" s="312"/>
      <c r="W11" s="312" t="str">
        <f>CONCATENATE(W10,X10)</f>
        <v>00</v>
      </c>
      <c r="X11" s="312"/>
    </row>
    <row r="12" spans="1:26" x14ac:dyDescent="0.15">
      <c r="A12" s="28" t="s">
        <v>202</v>
      </c>
      <c r="B12" s="22" t="b">
        <v>0</v>
      </c>
      <c r="C12" s="22" t="str">
        <f>IF(B12=TRUE,"レ","")</f>
        <v/>
      </c>
      <c r="D12" s="39"/>
      <c r="E12">
        <f>IF(M12="",0,MAX($E$2:E11)+1)</f>
        <v>0</v>
      </c>
      <c r="F12" s="42" t="s">
        <v>286</v>
      </c>
      <c r="G12" s="37" t="s">
        <v>228</v>
      </c>
      <c r="H12" s="22" t="str">
        <f>IF(第１群!$B79=1,"レ","")</f>
        <v/>
      </c>
      <c r="I12" s="22" t="str">
        <f>IF(第１群!$B79=2,"レ","")</f>
        <v/>
      </c>
      <c r="J12" s="22" t="str">
        <f>IF(第１群!$B79=3,"レ","")</f>
        <v/>
      </c>
      <c r="K12" s="57"/>
      <c r="L12" s="57"/>
      <c r="M12" s="52" t="str">
        <f>IF(第１群!C76="","",CLEAN(第１群!C76))</f>
        <v/>
      </c>
      <c r="N12" s="80">
        <f t="shared" si="1"/>
        <v>0</v>
      </c>
      <c r="O12" s="80">
        <f t="shared" si="0"/>
        <v>0</v>
      </c>
    </row>
    <row r="13" spans="1:26" x14ac:dyDescent="0.15">
      <c r="E13">
        <f>IF(M13="",0,MAX($E$2:E12)+1)</f>
        <v>0</v>
      </c>
      <c r="F13" s="42" t="s">
        <v>286</v>
      </c>
      <c r="G13" s="37" t="s">
        <v>229</v>
      </c>
      <c r="H13" s="22" t="str">
        <f>IF(第１群!$B88=1,"レ","")</f>
        <v/>
      </c>
      <c r="I13" s="22" t="str">
        <f>IF(第１群!$B88=2,"レ","")</f>
        <v/>
      </c>
      <c r="J13" s="22" t="str">
        <f>IF(第１群!$B88=3,"レ","")</f>
        <v/>
      </c>
      <c r="K13" s="22" t="str">
        <f>IF(第１群!$B88=4,"レ","")</f>
        <v/>
      </c>
      <c r="L13" s="57"/>
      <c r="M13" s="52" t="str">
        <f>IF(第１群!C85="","",CLEAN(第１群!C85))</f>
        <v/>
      </c>
      <c r="N13" s="80">
        <f t="shared" si="1"/>
        <v>0</v>
      </c>
      <c r="O13" s="80">
        <f t="shared" si="0"/>
        <v>0</v>
      </c>
      <c r="P13" s="310" t="s">
        <v>426</v>
      </c>
      <c r="Q13" s="22">
        <f>IF(LEN(基本情報!$B$18)&gt;=10,MID(基本情報!$B$18,LEN(基本情報!$B$18)-9,1),0)</f>
        <v>0</v>
      </c>
      <c r="R13" s="22">
        <f>IF(LEN(基本情報!$B$18)&gt;=9,MID(基本情報!$B$18,LEN(基本情報!$B$18)-8,1),0)</f>
        <v>0</v>
      </c>
      <c r="S13" s="22">
        <f>IF(LEN(基本情報!$B$18)&gt;=8,MID(基本情報!$B$18,LEN(基本情報!$B$18)-7,1),0)</f>
        <v>0</v>
      </c>
      <c r="T13" s="22">
        <f>IF(LEN(基本情報!$B$18)&gt;=7,MID(基本情報!$B$18,LEN(基本情報!$B$18)-6,1),0)</f>
        <v>0</v>
      </c>
      <c r="U13" s="22">
        <f>IF(LEN(基本情報!$B$18)&gt;=6,MID(基本情報!$B$18,LEN(基本情報!$B$18)-5,1),0)</f>
        <v>0</v>
      </c>
      <c r="V13" s="22">
        <f>IF(LEN(基本情報!$B$18)&gt;=5,MID(基本情報!$B$18,LEN(基本情報!$B$18)-4,1),0)</f>
        <v>0</v>
      </c>
      <c r="W13" s="22">
        <f>IF(LEN(基本情報!$B$18)&gt;=4,MID(基本情報!$B$18,LEN(基本情報!$B$18)-3,1),0)</f>
        <v>0</v>
      </c>
      <c r="X13" s="22">
        <f>IF(LEN(基本情報!$B$18)&gt;=3,MID(基本情報!$B$18,LEN(基本情報!$B$18)-2,1),0)</f>
        <v>0</v>
      </c>
      <c r="Y13" s="22">
        <f>IF(LEN(基本情報!$B$18)&gt;=2,MID(基本情報!$B$18,LEN(基本情報!$B$18)-1,1),0)</f>
        <v>0</v>
      </c>
      <c r="Z13" s="22">
        <f>IF(LEN(基本情報!$B$18)&gt;=1,MID(基本情報!$B$18,LEN(基本情報!$B$18),1),0)</f>
        <v>0</v>
      </c>
    </row>
    <row r="14" spans="1:26" x14ac:dyDescent="0.15">
      <c r="A14" s="294" t="s">
        <v>207</v>
      </c>
      <c r="B14" s="295"/>
      <c r="C14" s="28" t="s">
        <v>297</v>
      </c>
      <c r="D14" s="39"/>
      <c r="E14">
        <f>IF(M14="",0,MAX($E$2:E13)+1)</f>
        <v>0</v>
      </c>
      <c r="F14" s="42" t="s">
        <v>286</v>
      </c>
      <c r="G14" s="37" t="s">
        <v>230</v>
      </c>
      <c r="H14" s="22" t="str">
        <f>IF(第１群!$B97=1,"レ","")</f>
        <v/>
      </c>
      <c r="I14" s="22" t="str">
        <f>IF(第１群!$B97=2,"レ","")</f>
        <v/>
      </c>
      <c r="J14" s="22" t="str">
        <f>IF(第１群!$B97=3,"レ","")</f>
        <v/>
      </c>
      <c r="K14" s="39"/>
      <c r="L14" s="57"/>
      <c r="M14" s="52" t="str">
        <f>IF(第１群!C94="","",CLEAN(第１群!C94))</f>
        <v/>
      </c>
      <c r="N14" s="80">
        <f t="shared" si="1"/>
        <v>0</v>
      </c>
      <c r="O14" s="80">
        <f t="shared" si="0"/>
        <v>0</v>
      </c>
      <c r="P14" s="311"/>
      <c r="Q14" s="308" t="str">
        <f>CONCATENATE(Q13,R13,S13)</f>
        <v>000</v>
      </c>
      <c r="R14" s="314"/>
      <c r="S14" s="314"/>
      <c r="T14" s="312" t="str">
        <f>CONCATENATE(T13,U13,V13)</f>
        <v>000</v>
      </c>
      <c r="U14" s="312"/>
      <c r="V14" s="312"/>
      <c r="W14" s="312" t="str">
        <f>CONCATENATE(W13,X13,Y13,Z13)</f>
        <v>0000</v>
      </c>
      <c r="X14" s="312"/>
      <c r="Y14" s="312"/>
      <c r="Z14" s="312"/>
    </row>
    <row r="15" spans="1:26" x14ac:dyDescent="0.15">
      <c r="A15" s="28" t="s">
        <v>208</v>
      </c>
      <c r="B15" s="27" t="b">
        <v>0</v>
      </c>
      <c r="C15" s="22" t="str">
        <f>IF(B15=TRUE,"レ","")</f>
        <v/>
      </c>
      <c r="E15">
        <f>IF(M15="",0,MAX($E$2:E14)+1)</f>
        <v>0</v>
      </c>
      <c r="F15" s="42" t="s">
        <v>286</v>
      </c>
      <c r="G15" s="37" t="s">
        <v>231</v>
      </c>
      <c r="H15" s="22" t="str">
        <f>IF(第１群!$B106=1,"レ","")</f>
        <v/>
      </c>
      <c r="I15" s="22" t="str">
        <f>IF(第１群!$B106=2,"レ","")</f>
        <v/>
      </c>
      <c r="J15" s="22" t="str">
        <f>IF(第１群!$B106=3,"レ","")</f>
        <v/>
      </c>
      <c r="K15" s="22" t="str">
        <f>IF(第１群!$B106=4,"レ","")</f>
        <v/>
      </c>
      <c r="L15" s="22" t="str">
        <f>IF(第１群!$B106=5,"レ","")</f>
        <v/>
      </c>
      <c r="M15" s="52" t="str">
        <f>IF(第１群!C103="","",CLEAN(第１群!C103))</f>
        <v/>
      </c>
      <c r="N15" s="80">
        <f t="shared" si="1"/>
        <v>0</v>
      </c>
      <c r="O15" s="80">
        <f t="shared" si="0"/>
        <v>0</v>
      </c>
    </row>
    <row r="16" spans="1:26" ht="14.25" thickBot="1" x14ac:dyDescent="0.2">
      <c r="A16" s="28" t="s">
        <v>209</v>
      </c>
      <c r="B16" s="27" t="b">
        <v>0</v>
      </c>
      <c r="C16" s="22" t="str">
        <f t="shared" ref="C16:C26" si="2">IF(B16=TRUE,"レ","")</f>
        <v/>
      </c>
      <c r="E16">
        <f>IF(M16="",0,MAX($E$2:E15)+1)</f>
        <v>0</v>
      </c>
      <c r="F16" s="43" t="s">
        <v>286</v>
      </c>
      <c r="G16" s="44" t="s">
        <v>232</v>
      </c>
      <c r="H16" s="22" t="str">
        <f>IF(第１群!$B115=1,"レ","")</f>
        <v/>
      </c>
      <c r="I16" s="22" t="str">
        <f>IF(第１群!$B115=2,"レ","")</f>
        <v/>
      </c>
      <c r="J16" s="22" t="str">
        <f>IF(第１群!$B115=3,"レ","")</f>
        <v/>
      </c>
      <c r="K16" s="22" t="str">
        <f>IF(第１群!$B115=4,"レ","")</f>
        <v/>
      </c>
      <c r="L16" s="22" t="str">
        <f>IF(第１群!$B115=5,"レ","")</f>
        <v/>
      </c>
      <c r="M16" s="53" t="str">
        <f>IF(第１群!C112="","",CLEAN(第１群!C112))</f>
        <v/>
      </c>
      <c r="N16" s="80">
        <f t="shared" si="1"/>
        <v>0</v>
      </c>
      <c r="O16" s="80">
        <f t="shared" si="0"/>
        <v>0</v>
      </c>
    </row>
    <row r="17" spans="1:24" x14ac:dyDescent="0.15">
      <c r="A17" s="28" t="s">
        <v>181</v>
      </c>
      <c r="B17" s="27" t="b">
        <v>0</v>
      </c>
      <c r="C17" s="22" t="str">
        <f t="shared" si="2"/>
        <v/>
      </c>
      <c r="E17">
        <f>IF(M17="",0,MAX($E$2:E16)+1)</f>
        <v>0</v>
      </c>
      <c r="F17" s="40" t="s">
        <v>287</v>
      </c>
      <c r="G17" s="41" t="s">
        <v>233</v>
      </c>
      <c r="H17" s="54" t="str">
        <f>IF(第２群!$B7=1,"レ","")</f>
        <v/>
      </c>
      <c r="I17" s="54" t="str">
        <f>IF(第２群!$B7=2,"レ","")</f>
        <v/>
      </c>
      <c r="J17" s="54" t="str">
        <f>IF(第２群!$B7=3,"レ","")</f>
        <v/>
      </c>
      <c r="K17" s="54" t="str">
        <f>IF(第２群!$B7=4,"レ","")</f>
        <v/>
      </c>
      <c r="L17" s="55"/>
      <c r="M17" s="51" t="str">
        <f>IF(第２群!C4="","",CLEAN(第２群!C4))</f>
        <v/>
      </c>
      <c r="N17" s="80">
        <f t="shared" si="1"/>
        <v>0</v>
      </c>
      <c r="O17" s="80">
        <f t="shared" si="0"/>
        <v>0</v>
      </c>
      <c r="T17" s="305" t="s">
        <v>454</v>
      </c>
      <c r="U17" s="22" t="str">
        <f>MID(U18,1,1)</f>
        <v/>
      </c>
      <c r="V17" s="22" t="str">
        <f>MID(U18,2,1)</f>
        <v/>
      </c>
    </row>
    <row r="18" spans="1:24" ht="14.25" thickBot="1" x14ac:dyDescent="0.2">
      <c r="A18" s="28" t="s">
        <v>210</v>
      </c>
      <c r="B18" s="27" t="b">
        <v>0</v>
      </c>
      <c r="C18" s="22" t="str">
        <f t="shared" si="2"/>
        <v/>
      </c>
      <c r="E18">
        <f>IF(M18="",0,MAX($E$2:E17)+1)</f>
        <v>0</v>
      </c>
      <c r="F18" s="42" t="s">
        <v>287</v>
      </c>
      <c r="G18" s="37" t="s">
        <v>234</v>
      </c>
      <c r="H18" s="22" t="str">
        <f>IF(第２群!$B16=1,"レ","")</f>
        <v/>
      </c>
      <c r="I18" s="22" t="str">
        <f>IF(第２群!$B16=2,"レ","")</f>
        <v/>
      </c>
      <c r="J18" s="22" t="str">
        <f>IF(第２群!$B16=3,"レ","")</f>
        <v/>
      </c>
      <c r="K18" s="22" t="str">
        <f>IF(第２群!$B16=4,"レ","")</f>
        <v/>
      </c>
      <c r="L18" s="57"/>
      <c r="M18" s="52" t="str">
        <f>IF(第２群!C13="","",CLEAN(第２群!C13))</f>
        <v/>
      </c>
      <c r="N18" s="80">
        <f t="shared" si="1"/>
        <v>0</v>
      </c>
      <c r="O18" s="80">
        <f t="shared" si="0"/>
        <v>0</v>
      </c>
      <c r="P18" s="220" t="s">
        <v>480</v>
      </c>
      <c r="Q18" s="221" t="str">
        <f>IFERROR(VLOOKUP(基本情報!L3,計算シート!P19:Q21,1),"")</f>
        <v/>
      </c>
      <c r="T18" s="305"/>
      <c r="U18" s="313" t="str">
        <f>IFERROR(VLOOKUP(基本情報!$L$4,計算シート!T19:U32,1),"")</f>
        <v/>
      </c>
      <c r="V18" s="313"/>
    </row>
    <row r="19" spans="1:24" x14ac:dyDescent="0.15">
      <c r="A19" s="28" t="s">
        <v>183</v>
      </c>
      <c r="B19" s="27" t="b">
        <v>0</v>
      </c>
      <c r="C19" s="22" t="str">
        <f t="shared" si="2"/>
        <v/>
      </c>
      <c r="E19">
        <f>IF(M19="",0,MAX($E$2:E18)+1)</f>
        <v>0</v>
      </c>
      <c r="F19" s="42" t="s">
        <v>287</v>
      </c>
      <c r="G19" s="37" t="s">
        <v>235</v>
      </c>
      <c r="H19" s="22" t="str">
        <f>IF(第２群!$B25=1,"レ","")</f>
        <v/>
      </c>
      <c r="I19" s="22" t="str">
        <f>IF(第２群!$B25=2,"レ","")</f>
        <v/>
      </c>
      <c r="J19" s="22" t="str">
        <f>IF(第２群!$B25=3,"レ","")</f>
        <v/>
      </c>
      <c r="K19" s="39"/>
      <c r="L19" s="57"/>
      <c r="M19" s="52" t="str">
        <f>IF(第２群!C22="","",CLEAN(第２群!C22))</f>
        <v/>
      </c>
      <c r="N19" s="80">
        <f t="shared" si="1"/>
        <v>0</v>
      </c>
      <c r="O19" s="80">
        <f t="shared" si="0"/>
        <v>0</v>
      </c>
      <c r="P19" s="216" t="s">
        <v>484</v>
      </c>
      <c r="Q19" s="211" t="s">
        <v>481</v>
      </c>
      <c r="R19" s="213"/>
      <c r="T19" s="200" t="s">
        <v>455</v>
      </c>
      <c r="U19" s="208" t="s">
        <v>468</v>
      </c>
      <c r="V19" s="201"/>
      <c r="W19" s="201"/>
      <c r="X19" s="202"/>
    </row>
    <row r="20" spans="1:24" x14ac:dyDescent="0.15">
      <c r="A20" s="28" t="s">
        <v>211</v>
      </c>
      <c r="B20" s="27" t="b">
        <v>0</v>
      </c>
      <c r="C20" s="22" t="str">
        <f t="shared" si="2"/>
        <v/>
      </c>
      <c r="E20">
        <f>IF(M20="",0,MAX($E$2:E19)+1)</f>
        <v>0</v>
      </c>
      <c r="F20" s="42" t="s">
        <v>287</v>
      </c>
      <c r="G20" s="37" t="s">
        <v>236</v>
      </c>
      <c r="H20" s="22" t="str">
        <f>IF(第２群!$B34=1,"レ","")</f>
        <v/>
      </c>
      <c r="I20" s="22" t="str">
        <f>IF(第２群!$B34=2,"レ","")</f>
        <v/>
      </c>
      <c r="J20" s="22" t="str">
        <f>IF(第２群!$B34=3,"レ","")</f>
        <v/>
      </c>
      <c r="K20" s="22" t="str">
        <f>IF(第２群!$B34=4,"レ","")</f>
        <v/>
      </c>
      <c r="L20" s="57"/>
      <c r="M20" s="52" t="str">
        <f>IF(第２群!C31="","",CLEAN(第２群!C31))</f>
        <v/>
      </c>
      <c r="N20" s="80">
        <f t="shared" si="1"/>
        <v>0</v>
      </c>
      <c r="O20" s="80">
        <f t="shared" si="0"/>
        <v>0</v>
      </c>
      <c r="P20" s="217" t="s">
        <v>485</v>
      </c>
      <c r="Q20" s="122" t="s">
        <v>482</v>
      </c>
      <c r="R20" s="214"/>
      <c r="T20" s="203" t="s">
        <v>456</v>
      </c>
      <c r="U20" s="209" t="s">
        <v>469</v>
      </c>
      <c r="X20" s="204"/>
    </row>
    <row r="21" spans="1:24" ht="14.25" thickBot="1" x14ac:dyDescent="0.2">
      <c r="A21" s="28" t="s">
        <v>212</v>
      </c>
      <c r="B21" s="27" t="b">
        <v>0</v>
      </c>
      <c r="C21" s="22" t="str">
        <f t="shared" si="2"/>
        <v/>
      </c>
      <c r="E21">
        <f>IF(M21="",0,MAX($E$2:E20)+1)</f>
        <v>0</v>
      </c>
      <c r="F21" s="42" t="s">
        <v>287</v>
      </c>
      <c r="G21" s="37" t="s">
        <v>237</v>
      </c>
      <c r="H21" s="22" t="str">
        <f>IF(第２群!$B43=1,"レ","")</f>
        <v/>
      </c>
      <c r="I21" s="22" t="str">
        <f>IF(第２群!$B43=2,"レ","")</f>
        <v/>
      </c>
      <c r="J21" s="22" t="str">
        <f>IF(第２群!$B43=3,"レ","")</f>
        <v/>
      </c>
      <c r="K21" s="22" t="str">
        <f>IF(第２群!$B43=4,"レ","")</f>
        <v/>
      </c>
      <c r="L21" s="57"/>
      <c r="M21" s="52" t="str">
        <f>IF(第２群!C40="","",CLEAN(第２群!C40))</f>
        <v/>
      </c>
      <c r="N21" s="80">
        <f t="shared" si="1"/>
        <v>0</v>
      </c>
      <c r="O21" s="80">
        <f t="shared" si="0"/>
        <v>0</v>
      </c>
      <c r="P21" s="218" t="s">
        <v>486</v>
      </c>
      <c r="Q21" s="212" t="s">
        <v>483</v>
      </c>
      <c r="R21" s="215"/>
      <c r="T21" s="203" t="s">
        <v>457</v>
      </c>
      <c r="U21" s="209" t="s">
        <v>470</v>
      </c>
      <c r="X21" s="204"/>
    </row>
    <row r="22" spans="1:24" x14ac:dyDescent="0.15">
      <c r="A22" s="28" t="s">
        <v>213</v>
      </c>
      <c r="B22" s="27" t="b">
        <v>0</v>
      </c>
      <c r="C22" s="22" t="str">
        <f t="shared" si="2"/>
        <v/>
      </c>
      <c r="E22">
        <f>IF(M22="",0,MAX($E$2:E21)+1)</f>
        <v>0</v>
      </c>
      <c r="F22" s="42" t="s">
        <v>287</v>
      </c>
      <c r="G22" s="37" t="s">
        <v>238</v>
      </c>
      <c r="H22" s="22" t="str">
        <f>IF(第２群!$B52=1,"レ","")</f>
        <v/>
      </c>
      <c r="I22" s="22" t="str">
        <f>IF(第２群!$B52=2,"レ","")</f>
        <v/>
      </c>
      <c r="J22" s="22" t="str">
        <f>IF(第２群!$B52=3,"レ","")</f>
        <v/>
      </c>
      <c r="K22" s="22" t="str">
        <f>IF(第２群!$B52=4,"レ","")</f>
        <v/>
      </c>
      <c r="L22" s="57"/>
      <c r="M22" s="52" t="str">
        <f>IF(第２群!C49="","",CLEAN(第２群!C49))</f>
        <v/>
      </c>
      <c r="N22" s="80">
        <f t="shared" si="1"/>
        <v>0</v>
      </c>
      <c r="O22" s="80">
        <f t="shared" si="0"/>
        <v>0</v>
      </c>
      <c r="T22" s="203" t="s">
        <v>458</v>
      </c>
      <c r="U22" s="209" t="s">
        <v>478</v>
      </c>
      <c r="X22" s="204"/>
    </row>
    <row r="23" spans="1:24" x14ac:dyDescent="0.15">
      <c r="A23" s="28" t="s">
        <v>187</v>
      </c>
      <c r="B23" s="27" t="b">
        <v>0</v>
      </c>
      <c r="C23" s="22" t="str">
        <f t="shared" si="2"/>
        <v/>
      </c>
      <c r="E23">
        <f>IF(M23="",0,MAX($E$2:E22)+1)</f>
        <v>0</v>
      </c>
      <c r="F23" s="42" t="s">
        <v>287</v>
      </c>
      <c r="G23" s="37" t="s">
        <v>239</v>
      </c>
      <c r="H23" s="22" t="str">
        <f>IF(第２群!$B61=1,"レ","")</f>
        <v/>
      </c>
      <c r="I23" s="22" t="str">
        <f>IF(第２群!$B61=2,"レ","")</f>
        <v/>
      </c>
      <c r="J23" s="22" t="str">
        <f>IF(第２群!$B61=3,"レ","")</f>
        <v/>
      </c>
      <c r="K23" s="57"/>
      <c r="L23" s="57"/>
      <c r="M23" s="52" t="str">
        <f>IF(第２群!C58="","",CLEAN(第２群!C58))</f>
        <v/>
      </c>
      <c r="N23" s="80">
        <f t="shared" si="1"/>
        <v>0</v>
      </c>
      <c r="O23" s="80">
        <f t="shared" si="0"/>
        <v>0</v>
      </c>
      <c r="T23" s="203" t="s">
        <v>459</v>
      </c>
      <c r="U23" s="209" t="s">
        <v>487</v>
      </c>
      <c r="X23" s="204"/>
    </row>
    <row r="24" spans="1:24" x14ac:dyDescent="0.15">
      <c r="A24" s="28" t="s">
        <v>214</v>
      </c>
      <c r="B24" s="27" t="b">
        <v>0</v>
      </c>
      <c r="C24" s="22" t="str">
        <f t="shared" si="2"/>
        <v/>
      </c>
      <c r="E24">
        <f>IF(M24="",0,MAX($E$2:E23)+1)</f>
        <v>0</v>
      </c>
      <c r="F24" s="42" t="s">
        <v>287</v>
      </c>
      <c r="G24" s="37" t="s">
        <v>240</v>
      </c>
      <c r="H24" s="22" t="str">
        <f>IF(第２群!$B70=1,"レ","")</f>
        <v/>
      </c>
      <c r="I24" s="22" t="str">
        <f>IF(第２群!$B70=2,"レ","")</f>
        <v/>
      </c>
      <c r="J24" s="22" t="str">
        <f>IF(第２群!$B70=3,"レ","")</f>
        <v/>
      </c>
      <c r="K24" s="57"/>
      <c r="L24" s="57"/>
      <c r="M24" s="52" t="str">
        <f>IF(第２群!C67="","",CLEAN(第２群!C67))</f>
        <v/>
      </c>
      <c r="N24" s="80">
        <f t="shared" si="1"/>
        <v>0</v>
      </c>
      <c r="O24" s="80">
        <f t="shared" si="0"/>
        <v>0</v>
      </c>
      <c r="T24" s="203" t="s">
        <v>460</v>
      </c>
      <c r="U24" s="209" t="s">
        <v>471</v>
      </c>
      <c r="X24" s="204"/>
    </row>
    <row r="25" spans="1:24" x14ac:dyDescent="0.15">
      <c r="A25" s="28" t="s">
        <v>215</v>
      </c>
      <c r="B25" s="27" t="b">
        <v>0</v>
      </c>
      <c r="C25" s="22" t="str">
        <f t="shared" si="2"/>
        <v/>
      </c>
      <c r="E25">
        <f>IF(M25="",0,MAX($E$2:E24)+1)</f>
        <v>0</v>
      </c>
      <c r="F25" s="42" t="s">
        <v>287</v>
      </c>
      <c r="G25" s="37" t="s">
        <v>241</v>
      </c>
      <c r="H25" s="22" t="str">
        <f>IF(第２群!$B79=1,"レ","")</f>
        <v/>
      </c>
      <c r="I25" s="22" t="str">
        <f>IF(第２群!$B79=2,"レ","")</f>
        <v/>
      </c>
      <c r="J25" s="22" t="str">
        <f>IF(第２群!$B79=3,"レ","")</f>
        <v/>
      </c>
      <c r="K25" s="57"/>
      <c r="L25" s="57"/>
      <c r="M25" s="52" t="str">
        <f>IF(第２群!C76="","",CLEAN(第２群!C76))</f>
        <v/>
      </c>
      <c r="N25" s="80">
        <f t="shared" si="1"/>
        <v>0</v>
      </c>
      <c r="O25" s="80">
        <f t="shared" si="0"/>
        <v>0</v>
      </c>
      <c r="T25" s="203" t="s">
        <v>461</v>
      </c>
      <c r="U25" s="209" t="s">
        <v>488</v>
      </c>
      <c r="X25" s="204"/>
    </row>
    <row r="26" spans="1:24" x14ac:dyDescent="0.15">
      <c r="A26" s="28" t="s">
        <v>190</v>
      </c>
      <c r="B26" s="27" t="b">
        <v>0</v>
      </c>
      <c r="C26" s="22" t="str">
        <f t="shared" si="2"/>
        <v/>
      </c>
      <c r="E26">
        <f>IF(M26="",0,MAX($E$2:E25)+1)</f>
        <v>0</v>
      </c>
      <c r="F26" s="42" t="s">
        <v>287</v>
      </c>
      <c r="G26" s="37" t="s">
        <v>242</v>
      </c>
      <c r="H26" s="22" t="str">
        <f>IF(第２群!$B88=1,"レ","")</f>
        <v/>
      </c>
      <c r="I26" s="22" t="str">
        <f>IF(第２群!$B88=2,"レ","")</f>
        <v/>
      </c>
      <c r="J26" s="22" t="str">
        <f>IF(第２群!$B88=3,"レ","")</f>
        <v/>
      </c>
      <c r="K26" s="22" t="str">
        <f>IF(第２群!$B88=4,"レ","")</f>
        <v/>
      </c>
      <c r="L26" s="57"/>
      <c r="M26" s="52" t="str">
        <f>IF(第２群!C85="","",CLEAN(第２群!C85))</f>
        <v/>
      </c>
      <c r="N26" s="80">
        <f t="shared" si="1"/>
        <v>0</v>
      </c>
      <c r="O26" s="80">
        <f t="shared" si="0"/>
        <v>0</v>
      </c>
      <c r="T26" s="203" t="s">
        <v>462</v>
      </c>
      <c r="U26" s="209" t="s">
        <v>489</v>
      </c>
      <c r="X26" s="204"/>
    </row>
    <row r="27" spans="1:24" x14ac:dyDescent="0.15">
      <c r="E27">
        <f>IF(M27="",0,MAX($E$2:E26)+1)</f>
        <v>0</v>
      </c>
      <c r="F27" s="42" t="s">
        <v>287</v>
      </c>
      <c r="G27" s="37" t="s">
        <v>243</v>
      </c>
      <c r="H27" s="22" t="str">
        <f>IF(第２群!$B97=1,"レ","")</f>
        <v/>
      </c>
      <c r="I27" s="22" t="str">
        <f>IF(第２群!$B97=2,"レ","")</f>
        <v/>
      </c>
      <c r="J27" s="22" t="str">
        <f>IF(第２群!$B97=3,"レ","")</f>
        <v/>
      </c>
      <c r="K27" s="22" t="str">
        <f>IF(第２群!$B97=4,"レ","")</f>
        <v/>
      </c>
      <c r="L27" s="57"/>
      <c r="M27" s="52" t="str">
        <f>IF(第２群!C94="","",CLEAN(第２群!C94))</f>
        <v/>
      </c>
      <c r="N27" s="80">
        <f t="shared" si="1"/>
        <v>0</v>
      </c>
      <c r="O27" s="80">
        <f t="shared" si="0"/>
        <v>0</v>
      </c>
      <c r="T27" s="203" t="s">
        <v>463</v>
      </c>
      <c r="U27" s="209" t="s">
        <v>472</v>
      </c>
      <c r="X27" s="204"/>
    </row>
    <row r="28" spans="1:24" ht="14.25" thickBot="1" x14ac:dyDescent="0.2">
      <c r="E28">
        <f>IF(M28="",0,MAX($E$2:E27)+1)</f>
        <v>0</v>
      </c>
      <c r="F28" s="43" t="s">
        <v>287</v>
      </c>
      <c r="G28" s="44" t="s">
        <v>244</v>
      </c>
      <c r="H28" s="22" t="str">
        <f>IF(第２群!$B106=1,"レ","")</f>
        <v/>
      </c>
      <c r="I28" s="22" t="str">
        <f>IF(第２群!$B106=2,"レ","")</f>
        <v/>
      </c>
      <c r="J28" s="22" t="str">
        <f>IF(第２群!$B106=3,"レ","")</f>
        <v/>
      </c>
      <c r="K28" s="58"/>
      <c r="L28" s="59"/>
      <c r="M28" s="53" t="str">
        <f>IF(第２群!C103="","",CLEAN(第２群!C103))</f>
        <v/>
      </c>
      <c r="N28" s="80">
        <f t="shared" si="1"/>
        <v>0</v>
      </c>
      <c r="O28" s="80">
        <f t="shared" si="0"/>
        <v>0</v>
      </c>
      <c r="T28" s="203" t="s">
        <v>464</v>
      </c>
      <c r="U28" s="209" t="s">
        <v>473</v>
      </c>
      <c r="X28" s="204"/>
    </row>
    <row r="29" spans="1:24" x14ac:dyDescent="0.15">
      <c r="A29" s="294" t="s">
        <v>300</v>
      </c>
      <c r="B29" s="295"/>
      <c r="E29">
        <f>IF(M29="",0,MAX($E$2:E28)+1)</f>
        <v>0</v>
      </c>
      <c r="F29" s="40" t="s">
        <v>288</v>
      </c>
      <c r="G29" s="46" t="s">
        <v>245</v>
      </c>
      <c r="H29" s="54" t="str">
        <f>IF(第３群!$B7=1,"レ","")</f>
        <v/>
      </c>
      <c r="I29" s="54" t="str">
        <f>IF(第３群!$B7=2,"レ","")</f>
        <v/>
      </c>
      <c r="J29" s="54" t="str">
        <f>IF(第３群!$B7=3,"レ","")</f>
        <v/>
      </c>
      <c r="K29" s="54" t="str">
        <f>IF(第３群!$B7=4,"レ","")</f>
        <v/>
      </c>
      <c r="L29" s="55"/>
      <c r="M29" s="51" t="str">
        <f>IF(第３群!C4="","",CLEAN(第３群!C4))</f>
        <v/>
      </c>
      <c r="N29" s="80">
        <f t="shared" si="1"/>
        <v>0</v>
      </c>
      <c r="O29" s="80">
        <f t="shared" si="0"/>
        <v>0</v>
      </c>
      <c r="T29" s="203" t="s">
        <v>465</v>
      </c>
      <c r="U29" s="209" t="s">
        <v>474</v>
      </c>
      <c r="X29" s="204"/>
    </row>
    <row r="30" spans="1:24" x14ac:dyDescent="0.15">
      <c r="A30" s="22">
        <v>1</v>
      </c>
      <c r="B30" s="22" t="s">
        <v>301</v>
      </c>
      <c r="E30">
        <f>IF(M30="",0,MAX($E$2:E29)+1)</f>
        <v>0</v>
      </c>
      <c r="F30" s="42" t="s">
        <v>288</v>
      </c>
      <c r="G30" s="38" t="s">
        <v>246</v>
      </c>
      <c r="H30" s="22" t="str">
        <f>IF(第３群!$B16=1,"レ","")</f>
        <v/>
      </c>
      <c r="I30" s="22" t="str">
        <f>IF(第３群!$B16=2,"レ","")</f>
        <v/>
      </c>
      <c r="J30" s="57"/>
      <c r="K30" s="57"/>
      <c r="L30" s="57"/>
      <c r="M30" s="52" t="str">
        <f>IF(第３群!C13="","",CLEAN(第３群!C13))</f>
        <v/>
      </c>
      <c r="N30" s="80">
        <f t="shared" si="1"/>
        <v>0</v>
      </c>
      <c r="O30" s="80">
        <f t="shared" si="0"/>
        <v>0</v>
      </c>
      <c r="T30" s="203" t="s">
        <v>466</v>
      </c>
      <c r="U30" s="209" t="s">
        <v>475</v>
      </c>
      <c r="X30" s="204"/>
    </row>
    <row r="31" spans="1:24" ht="14.25" thickBot="1" x14ac:dyDescent="0.2">
      <c r="A31" s="22">
        <v>2</v>
      </c>
      <c r="B31" s="22" t="s">
        <v>302</v>
      </c>
      <c r="E31">
        <f>IF(M31="",0,MAX($E$2:E30)+1)</f>
        <v>0</v>
      </c>
      <c r="F31" s="42" t="s">
        <v>288</v>
      </c>
      <c r="G31" s="38" t="s">
        <v>383</v>
      </c>
      <c r="H31" s="22" t="str">
        <f>IF(第３群!$B25=1,"レ","")</f>
        <v/>
      </c>
      <c r="I31" s="22" t="str">
        <f>IF(第３群!$B25=2,"レ","")</f>
        <v/>
      </c>
      <c r="J31" s="57"/>
      <c r="K31" s="57"/>
      <c r="L31" s="57"/>
      <c r="M31" s="52" t="str">
        <f>IF(第３群!C22="","",CLEAN(第３群!C22))</f>
        <v/>
      </c>
      <c r="N31" s="80">
        <f t="shared" si="1"/>
        <v>0</v>
      </c>
      <c r="O31" s="80">
        <f t="shared" si="0"/>
        <v>0</v>
      </c>
      <c r="T31" s="205" t="s">
        <v>467</v>
      </c>
      <c r="U31" s="210" t="s">
        <v>476</v>
      </c>
      <c r="V31" s="206"/>
      <c r="W31" s="206"/>
      <c r="X31" s="207"/>
    </row>
    <row r="32" spans="1:24" x14ac:dyDescent="0.15">
      <c r="E32">
        <f>IF(M32="",0,MAX($E$2:E31)+1)</f>
        <v>0</v>
      </c>
      <c r="F32" s="42" t="s">
        <v>288</v>
      </c>
      <c r="G32" s="38" t="s">
        <v>247</v>
      </c>
      <c r="H32" s="22" t="str">
        <f>IF(第３群!$B34=1,"レ","")</f>
        <v/>
      </c>
      <c r="I32" s="22" t="str">
        <f>IF(第３群!$B34=2,"レ","")</f>
        <v/>
      </c>
      <c r="J32" s="57"/>
      <c r="K32" s="57"/>
      <c r="L32" s="57"/>
      <c r="M32" s="52" t="str">
        <f>IF(第３群!C31="","",CLEAN(第３群!C31))</f>
        <v/>
      </c>
      <c r="N32" s="80">
        <f t="shared" si="1"/>
        <v>0</v>
      </c>
      <c r="O32" s="80">
        <f t="shared" si="0"/>
        <v>0</v>
      </c>
    </row>
    <row r="33" spans="1:15" x14ac:dyDescent="0.15">
      <c r="A33" s="305" t="s">
        <v>303</v>
      </c>
      <c r="B33" s="305"/>
      <c r="E33">
        <f>IF(M33="",0,MAX($E$2:E32)+1)</f>
        <v>0</v>
      </c>
      <c r="F33" s="42" t="s">
        <v>288</v>
      </c>
      <c r="G33" s="38" t="s">
        <v>248</v>
      </c>
      <c r="H33" s="22" t="str">
        <f>IF(第３群!$B43=1,"レ","")</f>
        <v/>
      </c>
      <c r="I33" s="22" t="str">
        <f>IF(第３群!$B43=2,"レ","")</f>
        <v/>
      </c>
      <c r="J33" s="57"/>
      <c r="K33" s="57"/>
      <c r="L33" s="57"/>
      <c r="M33" s="52" t="str">
        <f>IF(第３群!C40="","",CLEAN(第３群!C40))</f>
        <v/>
      </c>
      <c r="N33" s="80">
        <f t="shared" si="1"/>
        <v>0</v>
      </c>
      <c r="O33" s="80">
        <f t="shared" si="0"/>
        <v>0</v>
      </c>
    </row>
    <row r="34" spans="1:15" x14ac:dyDescent="0.15">
      <c r="A34" s="22">
        <v>1</v>
      </c>
      <c r="B34" s="22" t="s">
        <v>304</v>
      </c>
      <c r="E34">
        <f>IF(M34="",0,MAX($E$2:E33)+1)</f>
        <v>0</v>
      </c>
      <c r="F34" s="42" t="s">
        <v>288</v>
      </c>
      <c r="G34" s="38" t="s">
        <v>384</v>
      </c>
      <c r="H34" s="22" t="str">
        <f>IF(第３群!$B52=1,"レ","")</f>
        <v/>
      </c>
      <c r="I34" s="22" t="str">
        <f>IF(第３群!$B52=2,"レ","")</f>
        <v/>
      </c>
      <c r="J34" s="57"/>
      <c r="K34" s="57"/>
      <c r="L34" s="57"/>
      <c r="M34" s="52" t="str">
        <f>IF(第３群!C49="","",CLEAN(第３群!C49))</f>
        <v/>
      </c>
      <c r="N34" s="80">
        <f t="shared" si="1"/>
        <v>0</v>
      </c>
      <c r="O34" s="80">
        <f t="shared" si="0"/>
        <v>0</v>
      </c>
    </row>
    <row r="35" spans="1:15" x14ac:dyDescent="0.15">
      <c r="A35" s="22">
        <v>2</v>
      </c>
      <c r="B35" s="22" t="s">
        <v>305</v>
      </c>
      <c r="E35">
        <f>IF(M35="",0,MAX($E$2:E34)+1)</f>
        <v>0</v>
      </c>
      <c r="F35" s="42" t="s">
        <v>288</v>
      </c>
      <c r="G35" s="38" t="s">
        <v>249</v>
      </c>
      <c r="H35" s="56" t="str">
        <f>IF(第３群!$B61=1,"レ","")</f>
        <v/>
      </c>
      <c r="I35" s="56" t="str">
        <f>IF(第３群!$B61=2,"レ","")</f>
        <v/>
      </c>
      <c r="J35" s="57"/>
      <c r="K35" s="57"/>
      <c r="L35" s="57"/>
      <c r="M35" s="52" t="str">
        <f>IF(第３群!C58="","",CLEAN(第３群!C58))</f>
        <v/>
      </c>
      <c r="N35" s="80">
        <f t="shared" si="1"/>
        <v>0</v>
      </c>
      <c r="O35" s="80">
        <f t="shared" si="0"/>
        <v>0</v>
      </c>
    </row>
    <row r="36" spans="1:15" x14ac:dyDescent="0.15">
      <c r="A36" s="22">
        <v>3</v>
      </c>
      <c r="B36" s="22" t="s">
        <v>306</v>
      </c>
      <c r="E36">
        <f>IF(M36="",0,MAX($E$2:E35)+1)</f>
        <v>0</v>
      </c>
      <c r="F36" s="42" t="s">
        <v>288</v>
      </c>
      <c r="G36" s="38" t="s">
        <v>250</v>
      </c>
      <c r="H36" s="22" t="str">
        <f>IF(第３群!$B70=1,"レ","")</f>
        <v/>
      </c>
      <c r="I36" s="22" t="str">
        <f>IF(第３群!$B70=2,"レ","")</f>
        <v/>
      </c>
      <c r="J36" s="22" t="str">
        <f>IF(第３群!$B70=3,"レ","")</f>
        <v/>
      </c>
      <c r="K36" s="57"/>
      <c r="L36" s="57"/>
      <c r="M36" s="52" t="str">
        <f>IF(第３群!C67="","",CLEAN(第３群!C67))</f>
        <v/>
      </c>
      <c r="N36" s="80">
        <f t="shared" si="1"/>
        <v>0</v>
      </c>
      <c r="O36" s="80">
        <f t="shared" si="0"/>
        <v>0</v>
      </c>
    </row>
    <row r="37" spans="1:15" ht="14.25" thickBot="1" x14ac:dyDescent="0.2">
      <c r="A37" s="22">
        <v>4</v>
      </c>
      <c r="B37" s="22" t="s">
        <v>307</v>
      </c>
      <c r="E37">
        <f>IF(M37="",0,MAX($E$2:E36)+1)</f>
        <v>0</v>
      </c>
      <c r="F37" s="43" t="s">
        <v>288</v>
      </c>
      <c r="G37" s="47" t="s">
        <v>385</v>
      </c>
      <c r="H37" s="60" t="str">
        <f>IF(第３群!$B79=1,"レ","")</f>
        <v/>
      </c>
      <c r="I37" s="60" t="str">
        <f>IF(第３群!$B79=2,"レ","")</f>
        <v/>
      </c>
      <c r="J37" s="60" t="str">
        <f>IF(第３群!$B79=3,"レ","")</f>
        <v/>
      </c>
      <c r="K37" s="59"/>
      <c r="L37" s="59"/>
      <c r="M37" s="53" t="str">
        <f>IF(第３群!C76="","",CLEAN(第３群!C76))</f>
        <v/>
      </c>
      <c r="N37" s="80">
        <f t="shared" si="1"/>
        <v>0</v>
      </c>
      <c r="O37" s="80">
        <f t="shared" si="0"/>
        <v>0</v>
      </c>
    </row>
    <row r="38" spans="1:15" x14ac:dyDescent="0.15">
      <c r="A38" s="22">
        <v>5</v>
      </c>
      <c r="B38" s="22" t="s">
        <v>423</v>
      </c>
      <c r="E38">
        <f>IF(M38="",0,MAX($E$2:E37)+1)</f>
        <v>0</v>
      </c>
      <c r="F38" s="50" t="s">
        <v>289</v>
      </c>
      <c r="G38" s="45" t="s">
        <v>251</v>
      </c>
      <c r="H38" s="54" t="str">
        <f>IF('第４群 '!$B7=1,"レ","")</f>
        <v/>
      </c>
      <c r="I38" s="61" t="str">
        <f>IF('第４群 '!$B7=2,"レ","")</f>
        <v/>
      </c>
      <c r="J38" s="61" t="str">
        <f>IF('第４群 '!$B7=3,"レ","")</f>
        <v/>
      </c>
      <c r="K38" s="57"/>
      <c r="L38" s="57"/>
      <c r="M38" s="52" t="str">
        <f>IF('第４群 '!C4="","",CLEAN('第４群 '!C4))</f>
        <v/>
      </c>
      <c r="N38" s="80">
        <f t="shared" si="1"/>
        <v>0</v>
      </c>
      <c r="O38" s="80">
        <f t="shared" si="0"/>
        <v>0</v>
      </c>
    </row>
    <row r="39" spans="1:15" x14ac:dyDescent="0.15">
      <c r="E39">
        <f>IF(M39="",0,MAX($E$2:E38)+1)</f>
        <v>0</v>
      </c>
      <c r="F39" s="42" t="s">
        <v>289</v>
      </c>
      <c r="G39" s="38" t="s">
        <v>252</v>
      </c>
      <c r="H39" s="22" t="str">
        <f>IF('第４群 '!$B16=1,"レ","")</f>
        <v/>
      </c>
      <c r="I39" s="22" t="str">
        <f>IF('第４群 '!$B16=2,"レ","")</f>
        <v/>
      </c>
      <c r="J39" s="22" t="str">
        <f>IF('第４群 '!$B16=3,"レ","")</f>
        <v/>
      </c>
      <c r="K39" s="57"/>
      <c r="L39" s="57"/>
      <c r="M39" s="52" t="str">
        <f>IF('第４群 '!C13="","",CLEAN('第４群 '!C13))</f>
        <v/>
      </c>
      <c r="N39" s="80">
        <f t="shared" si="1"/>
        <v>0</v>
      </c>
      <c r="O39" s="80">
        <f t="shared" si="0"/>
        <v>0</v>
      </c>
    </row>
    <row r="40" spans="1:15" x14ac:dyDescent="0.15">
      <c r="A40" s="69" t="s">
        <v>308</v>
      </c>
      <c r="B40" s="70">
        <v>342</v>
      </c>
      <c r="C40" s="71">
        <v>55</v>
      </c>
      <c r="E40">
        <f>IF(M40="",0,MAX($E$2:E39)+1)</f>
        <v>0</v>
      </c>
      <c r="F40" s="42" t="s">
        <v>289</v>
      </c>
      <c r="G40" s="38" t="s">
        <v>253</v>
      </c>
      <c r="H40" s="22" t="str">
        <f>IF('第４群 '!$B25=1,"レ","")</f>
        <v/>
      </c>
      <c r="I40" s="22" t="str">
        <f>IF('第４群 '!$B25=2,"レ","")</f>
        <v/>
      </c>
      <c r="J40" s="22" t="str">
        <f>IF('第４群 '!$B25=3,"レ","")</f>
        <v/>
      </c>
      <c r="K40" s="57"/>
      <c r="L40" s="57"/>
      <c r="M40" s="52" t="str">
        <f>IF('第４群 '!C22="","",CLEAN('第４群 '!C22))</f>
        <v/>
      </c>
      <c r="N40" s="80">
        <f t="shared" si="1"/>
        <v>0</v>
      </c>
      <c r="O40" s="80">
        <f t="shared" si="0"/>
        <v>0</v>
      </c>
    </row>
    <row r="41" spans="1:15" x14ac:dyDescent="0.15">
      <c r="A41" s="69" t="s">
        <v>309</v>
      </c>
      <c r="B41" s="56" t="str">
        <f>IF(基本情報!$B$4=1,"レ","")</f>
        <v/>
      </c>
      <c r="C41" s="56" t="str">
        <f>IF(基本情報!$B$4=2,"レ","")</f>
        <v/>
      </c>
      <c r="E41">
        <f>IF(M41="",0,MAX($E$2:E40)+1)</f>
        <v>0</v>
      </c>
      <c r="F41" s="42" t="s">
        <v>289</v>
      </c>
      <c r="G41" s="38" t="s">
        <v>254</v>
      </c>
      <c r="H41" s="22" t="str">
        <f>IF('第４群 '!$B34=1,"レ","")</f>
        <v/>
      </c>
      <c r="I41" s="22" t="str">
        <f>IF('第４群 '!$B34=2,"レ","")</f>
        <v/>
      </c>
      <c r="J41" s="22" t="str">
        <f>IF('第４群 '!$B34=3,"レ","")</f>
        <v/>
      </c>
      <c r="K41" s="57"/>
      <c r="L41" s="57"/>
      <c r="M41" s="52" t="str">
        <f>IF('第４群 '!C31="","",CLEAN('第４群 '!C31))</f>
        <v/>
      </c>
      <c r="N41" s="80">
        <f t="shared" si="1"/>
        <v>0</v>
      </c>
      <c r="O41" s="80">
        <f t="shared" si="0"/>
        <v>0</v>
      </c>
    </row>
    <row r="42" spans="1:15" x14ac:dyDescent="0.15">
      <c r="A42" s="69" t="s">
        <v>310</v>
      </c>
      <c r="B42" s="22" t="str">
        <f>IF(基本情報!$B$5=1,"レ","")</f>
        <v/>
      </c>
      <c r="C42" s="22" t="str">
        <f>IF(基本情報!$B$5=2,"レ","")</f>
        <v/>
      </c>
      <c r="D42" s="22" t="str">
        <f>IF(基本情報!$B$5=3,"レ","")</f>
        <v/>
      </c>
      <c r="E42">
        <f>IF(M42="",0,MAX($E$2:E41)+1)</f>
        <v>0</v>
      </c>
      <c r="F42" s="42" t="s">
        <v>289</v>
      </c>
      <c r="G42" s="38" t="s">
        <v>255</v>
      </c>
      <c r="H42" s="22" t="str">
        <f>IF('第４群 '!$B43=1,"レ","")</f>
        <v/>
      </c>
      <c r="I42" s="22" t="str">
        <f>IF('第４群 '!$B43=2,"レ","")</f>
        <v/>
      </c>
      <c r="J42" s="22" t="str">
        <f>IF('第４群 '!$B43=3,"レ","")</f>
        <v/>
      </c>
      <c r="K42" s="57"/>
      <c r="L42" s="57"/>
      <c r="M42" s="52" t="str">
        <f>IF('第４群 '!C40="","",CLEAN('第４群 '!C40))</f>
        <v/>
      </c>
      <c r="N42" s="80">
        <f t="shared" si="1"/>
        <v>0</v>
      </c>
      <c r="O42" s="80">
        <f t="shared" si="0"/>
        <v>0</v>
      </c>
    </row>
    <row r="43" spans="1:15" x14ac:dyDescent="0.15">
      <c r="E43">
        <f>IF(M43="",0,MAX($E$2:E42)+1)</f>
        <v>0</v>
      </c>
      <c r="F43" s="42" t="s">
        <v>289</v>
      </c>
      <c r="G43" s="38" t="s">
        <v>256</v>
      </c>
      <c r="H43" s="22" t="str">
        <f>IF('第４群 '!$B52=1,"レ","")</f>
        <v/>
      </c>
      <c r="I43" s="22" t="str">
        <f>IF('第４群 '!$B52=2,"レ","")</f>
        <v/>
      </c>
      <c r="J43" s="22" t="str">
        <f>IF('第４群 '!$B52=3,"レ","")</f>
        <v/>
      </c>
      <c r="K43" s="57"/>
      <c r="L43" s="57"/>
      <c r="M43" s="52" t="str">
        <f>IF('第４群 '!C49="","",CLEAN('第４群 '!C49))</f>
        <v/>
      </c>
      <c r="N43" s="80">
        <f t="shared" si="1"/>
        <v>0</v>
      </c>
      <c r="O43" s="80">
        <f t="shared" si="0"/>
        <v>0</v>
      </c>
    </row>
    <row r="44" spans="1:15" x14ac:dyDescent="0.15">
      <c r="A44" s="305" t="s">
        <v>311</v>
      </c>
      <c r="B44" s="305"/>
      <c r="E44">
        <f>IF(M44="",0,MAX($E$2:E43)+1)</f>
        <v>0</v>
      </c>
      <c r="F44" s="42" t="s">
        <v>289</v>
      </c>
      <c r="G44" s="38" t="s">
        <v>257</v>
      </c>
      <c r="H44" s="22" t="str">
        <f>IF('第４群 '!$B61=1,"レ","")</f>
        <v/>
      </c>
      <c r="I44" s="22" t="str">
        <f>IF('第４群 '!$B61=2,"レ","")</f>
        <v/>
      </c>
      <c r="J44" s="22" t="str">
        <f>IF('第４群 '!$B61=3,"レ","")</f>
        <v/>
      </c>
      <c r="K44" s="57"/>
      <c r="L44" s="57"/>
      <c r="M44" s="52" t="str">
        <f>IF('第４群 '!C58="","",CLEAN('第４群 '!C58))</f>
        <v/>
      </c>
      <c r="N44" s="80">
        <f t="shared" si="1"/>
        <v>0</v>
      </c>
      <c r="O44" s="80">
        <f t="shared" si="0"/>
        <v>0</v>
      </c>
    </row>
    <row r="45" spans="1:15" x14ac:dyDescent="0.15">
      <c r="A45" s="22">
        <v>1</v>
      </c>
      <c r="B45" s="22" t="s">
        <v>312</v>
      </c>
      <c r="E45">
        <f>IF(M45="",0,MAX($E$2:E44)+1)</f>
        <v>0</v>
      </c>
      <c r="F45" s="42" t="s">
        <v>289</v>
      </c>
      <c r="G45" s="38" t="s">
        <v>258</v>
      </c>
      <c r="H45" s="22" t="str">
        <f>IF('第４群 '!$B70=1,"レ","")</f>
        <v/>
      </c>
      <c r="I45" s="22" t="str">
        <f>IF('第４群 '!$B70=2,"レ","")</f>
        <v/>
      </c>
      <c r="J45" s="22" t="str">
        <f>IF('第４群 '!$B70=3,"レ","")</f>
        <v/>
      </c>
      <c r="K45" s="57"/>
      <c r="L45" s="57"/>
      <c r="M45" s="52" t="str">
        <f>IF('第４群 '!C67="","",CLEAN('第４群 '!C67))</f>
        <v/>
      </c>
      <c r="N45" s="80">
        <f t="shared" si="1"/>
        <v>0</v>
      </c>
      <c r="O45" s="80">
        <f t="shared" si="0"/>
        <v>0</v>
      </c>
    </row>
    <row r="46" spans="1:15" x14ac:dyDescent="0.15">
      <c r="A46" s="22">
        <v>2</v>
      </c>
      <c r="B46" s="22" t="s">
        <v>313</v>
      </c>
      <c r="E46">
        <f>IF(M46="",0,MAX($E$2:E45)+1)</f>
        <v>0</v>
      </c>
      <c r="F46" s="42" t="s">
        <v>289</v>
      </c>
      <c r="G46" s="38" t="s">
        <v>259</v>
      </c>
      <c r="H46" s="22" t="str">
        <f>IF('第４群 '!$B79=1,"レ","")</f>
        <v/>
      </c>
      <c r="I46" s="22" t="str">
        <f>IF('第４群 '!$B79=2,"レ","")</f>
        <v/>
      </c>
      <c r="J46" s="22" t="str">
        <f>IF('第４群 '!$B79=3,"レ","")</f>
        <v/>
      </c>
      <c r="K46" s="57"/>
      <c r="L46" s="57"/>
      <c r="M46" s="52" t="str">
        <f>IF('第４群 '!C76="","",CLEAN('第４群 '!C76))</f>
        <v/>
      </c>
      <c r="N46" s="80">
        <f t="shared" si="1"/>
        <v>0</v>
      </c>
      <c r="O46" s="80">
        <f t="shared" si="0"/>
        <v>0</v>
      </c>
    </row>
    <row r="47" spans="1:15" x14ac:dyDescent="0.15">
      <c r="A47" s="22">
        <v>3</v>
      </c>
      <c r="B47" s="22" t="s">
        <v>314</v>
      </c>
      <c r="E47">
        <f>IF(M47="",0,MAX($E$2:E46)+1)</f>
        <v>0</v>
      </c>
      <c r="F47" s="42" t="s">
        <v>289</v>
      </c>
      <c r="G47" s="38" t="s">
        <v>260</v>
      </c>
      <c r="H47" s="22" t="str">
        <f>IF('第４群 '!$B88=1,"レ","")</f>
        <v/>
      </c>
      <c r="I47" s="22" t="str">
        <f>IF('第４群 '!$B88=2,"レ","")</f>
        <v/>
      </c>
      <c r="J47" s="22" t="str">
        <f>IF('第４群 '!$B88=3,"レ","")</f>
        <v/>
      </c>
      <c r="K47" s="57"/>
      <c r="L47" s="57"/>
      <c r="M47" s="52" t="str">
        <f>IF('第４群 '!C85="","",CLEAN('第４群 '!C85))</f>
        <v/>
      </c>
      <c r="N47" s="80">
        <f t="shared" si="1"/>
        <v>0</v>
      </c>
      <c r="O47" s="80">
        <f t="shared" si="0"/>
        <v>0</v>
      </c>
    </row>
    <row r="48" spans="1:15" x14ac:dyDescent="0.15">
      <c r="E48">
        <f>IF(M48="",0,MAX($E$2:E47)+1)</f>
        <v>0</v>
      </c>
      <c r="F48" s="42" t="s">
        <v>289</v>
      </c>
      <c r="G48" s="38" t="s">
        <v>261</v>
      </c>
      <c r="H48" s="22" t="str">
        <f>IF('第４群 '!$B97=1,"レ","")</f>
        <v/>
      </c>
      <c r="I48" s="22" t="str">
        <f>IF('第４群 '!$B97=2,"レ","")</f>
        <v/>
      </c>
      <c r="J48" s="22" t="str">
        <f>IF('第４群 '!$B97=3,"レ","")</f>
        <v/>
      </c>
      <c r="K48" s="57"/>
      <c r="L48" s="57"/>
      <c r="M48" s="52" t="str">
        <f>IF('第４群 '!C94="","",CLEAN('第４群 '!C94))</f>
        <v/>
      </c>
      <c r="N48" s="80">
        <f t="shared" si="1"/>
        <v>0</v>
      </c>
      <c r="O48" s="80">
        <f t="shared" si="0"/>
        <v>0</v>
      </c>
    </row>
    <row r="49" spans="1:15" x14ac:dyDescent="0.15">
      <c r="A49" s="72" t="s">
        <v>315</v>
      </c>
      <c r="B49" s="22" t="str">
        <f>IF(基本情報!$L$2=1,"レ","")</f>
        <v/>
      </c>
      <c r="C49" s="22" t="str">
        <f>IF(基本情報!$L$2=2,"レ","")</f>
        <v/>
      </c>
      <c r="D49" s="22" t="str">
        <f>IF(基本情報!$L$2=3,"レ","")</f>
        <v/>
      </c>
      <c r="E49">
        <f>IF(M49="",0,MAX($E$2:E48)+1)</f>
        <v>0</v>
      </c>
      <c r="F49" s="42" t="s">
        <v>289</v>
      </c>
      <c r="G49" s="38" t="s">
        <v>262</v>
      </c>
      <c r="H49" s="22" t="str">
        <f>IF('第４群 '!$B106=1,"レ","")</f>
        <v/>
      </c>
      <c r="I49" s="22" t="str">
        <f>IF('第４群 '!$B106=2,"レ","")</f>
        <v/>
      </c>
      <c r="J49" s="22" t="str">
        <f>IF('第４群 '!$B106=3,"レ","")</f>
        <v/>
      </c>
      <c r="K49" s="57"/>
      <c r="L49" s="57"/>
      <c r="M49" s="52" t="str">
        <f>IF('第４群 '!C103="","",CLEAN('第４群 '!C103))</f>
        <v/>
      </c>
      <c r="N49" s="80">
        <f t="shared" si="1"/>
        <v>0</v>
      </c>
      <c r="O49" s="80">
        <f t="shared" si="0"/>
        <v>0</v>
      </c>
    </row>
    <row r="50" spans="1:15" x14ac:dyDescent="0.15">
      <c r="E50">
        <f>IF(M50="",0,MAX($E$2:E49)+1)</f>
        <v>0</v>
      </c>
      <c r="F50" s="42" t="s">
        <v>289</v>
      </c>
      <c r="G50" s="38" t="s">
        <v>263</v>
      </c>
      <c r="H50" s="22" t="str">
        <f>IF('第４群 '!$B115=1,"レ","")</f>
        <v/>
      </c>
      <c r="I50" s="22" t="str">
        <f>IF('第４群 '!$B115=2,"レ","")</f>
        <v/>
      </c>
      <c r="J50" s="22" t="str">
        <f>IF('第４群 '!$B115=3,"レ","")</f>
        <v/>
      </c>
      <c r="K50" s="57"/>
      <c r="L50" s="57"/>
      <c r="M50" s="52" t="str">
        <f>IF('第４群 '!C112="","",CLEAN('第４群 '!C112))</f>
        <v/>
      </c>
      <c r="N50" s="80">
        <f t="shared" si="1"/>
        <v>0</v>
      </c>
      <c r="O50" s="80">
        <f t="shared" si="0"/>
        <v>0</v>
      </c>
    </row>
    <row r="51" spans="1:15" x14ac:dyDescent="0.15">
      <c r="A51" s="72" t="s">
        <v>18</v>
      </c>
      <c r="B51" s="22" t="str">
        <f>IF(基本情報!$L$27="","","レ")</f>
        <v/>
      </c>
      <c r="E51">
        <f>IF(M51="",0,MAX($E$2:E50)+1)</f>
        <v>0</v>
      </c>
      <c r="F51" s="42" t="s">
        <v>289</v>
      </c>
      <c r="G51" s="38" t="s">
        <v>264</v>
      </c>
      <c r="H51" s="22" t="str">
        <f>IF('第４群 '!$B124=1,"レ","")</f>
        <v/>
      </c>
      <c r="I51" s="22" t="str">
        <f>IF('第４群 '!$B124=2,"レ","")</f>
        <v/>
      </c>
      <c r="J51" s="22" t="str">
        <f>IF('第４群 '!$B124=3,"レ","")</f>
        <v/>
      </c>
      <c r="K51" s="57"/>
      <c r="L51" s="57"/>
      <c r="M51" s="52" t="str">
        <f>IF('第４群 '!C121="","",CLEAN('第４群 '!C121))</f>
        <v/>
      </c>
      <c r="N51" s="80">
        <f t="shared" si="1"/>
        <v>0</v>
      </c>
      <c r="O51" s="80">
        <f t="shared" si="0"/>
        <v>0</v>
      </c>
    </row>
    <row r="52" spans="1:15" ht="14.25" thickBot="1" x14ac:dyDescent="0.2">
      <c r="A52" s="72" t="s">
        <v>19</v>
      </c>
      <c r="B52" s="22" t="str">
        <f>IF(基本情報!$L$28="","","レ")</f>
        <v/>
      </c>
      <c r="E52">
        <f>IF(M52="",0,MAX($E$2:E51)+1)</f>
        <v>0</v>
      </c>
      <c r="F52" s="48" t="s">
        <v>289</v>
      </c>
      <c r="G52" s="49" t="s">
        <v>265</v>
      </c>
      <c r="H52" s="56" t="str">
        <f>IF('第４群 '!$B133=1,"レ","")</f>
        <v/>
      </c>
      <c r="I52" s="56" t="str">
        <f>IF('第４群 '!$B133=2,"レ","")</f>
        <v/>
      </c>
      <c r="J52" s="56" t="str">
        <f>IF('第４群 '!$B133=3,"レ","")</f>
        <v/>
      </c>
      <c r="K52" s="57"/>
      <c r="L52" s="57"/>
      <c r="M52" s="52" t="str">
        <f>IF('第４群 '!C130="","",CLEAN('第４群 '!C130))</f>
        <v/>
      </c>
      <c r="N52" s="80">
        <f t="shared" si="1"/>
        <v>0</v>
      </c>
      <c r="O52" s="80">
        <f t="shared" si="0"/>
        <v>0</v>
      </c>
    </row>
    <row r="53" spans="1:15" x14ac:dyDescent="0.15">
      <c r="E53">
        <f>IF(M53="",0,MAX($E$2:E52)+1)</f>
        <v>0</v>
      </c>
      <c r="F53" s="40" t="s">
        <v>290</v>
      </c>
      <c r="G53" s="46" t="s">
        <v>266</v>
      </c>
      <c r="H53" s="54" t="str">
        <f>IF(第５群!$B7=1,"レ","")</f>
        <v/>
      </c>
      <c r="I53" s="54" t="str">
        <f>IF(第５群!$B7=2,"レ","")</f>
        <v/>
      </c>
      <c r="J53" s="54" t="str">
        <f>IF(第５群!$B7=3,"レ","")</f>
        <v/>
      </c>
      <c r="K53" s="55"/>
      <c r="L53" s="55"/>
      <c r="M53" s="51" t="str">
        <f>IF(第５群!C4="","",CLEAN(第５群!C4))</f>
        <v/>
      </c>
      <c r="N53" s="80">
        <f t="shared" si="1"/>
        <v>0</v>
      </c>
      <c r="O53" s="80">
        <f t="shared" si="0"/>
        <v>0</v>
      </c>
    </row>
    <row r="54" spans="1:15" x14ac:dyDescent="0.15">
      <c r="A54" s="72" t="s">
        <v>319</v>
      </c>
      <c r="B54" s="22" t="str">
        <f>IF(基本情報!$L$21&lt;&gt;"","レ","")</f>
        <v/>
      </c>
      <c r="C54" s="22" t="str">
        <f>IF(基本情報!$L$21="","レ","")</f>
        <v>レ</v>
      </c>
      <c r="E54">
        <f>IF(M54="",0,MAX($E$2:E53)+1)</f>
        <v>0</v>
      </c>
      <c r="F54" s="42" t="s">
        <v>290</v>
      </c>
      <c r="G54" s="38" t="s">
        <v>267</v>
      </c>
      <c r="H54" s="22" t="str">
        <f>IF(第５群!$B16=1,"レ","")</f>
        <v/>
      </c>
      <c r="I54" s="22" t="str">
        <f>IF(第５群!$B16=2,"レ","")</f>
        <v/>
      </c>
      <c r="J54" s="22" t="str">
        <f>IF(第５群!$B16=3,"レ","")</f>
        <v/>
      </c>
      <c r="K54" s="57"/>
      <c r="L54" s="57"/>
      <c r="M54" s="52" t="str">
        <f>IF(第５群!C13="","",CLEAN(第５群!C13))</f>
        <v/>
      </c>
      <c r="N54" s="80">
        <f t="shared" si="1"/>
        <v>0</v>
      </c>
      <c r="O54" s="80">
        <f t="shared" si="0"/>
        <v>0</v>
      </c>
    </row>
    <row r="55" spans="1:15" x14ac:dyDescent="0.15">
      <c r="A55" s="306" t="s">
        <v>319</v>
      </c>
      <c r="B55" s="306"/>
      <c r="E55">
        <f>IF(M55="",0,MAX($E$2:E54)+1)</f>
        <v>0</v>
      </c>
      <c r="F55" s="42" t="s">
        <v>290</v>
      </c>
      <c r="G55" s="38" t="s">
        <v>268</v>
      </c>
      <c r="H55" s="22" t="str">
        <f>IF(第５群!$B25=1,"レ","")</f>
        <v/>
      </c>
      <c r="I55" s="22" t="str">
        <f>IF(第５群!$B25=2,"レ","")</f>
        <v/>
      </c>
      <c r="J55" s="22" t="str">
        <f>IF(第５群!$B25=3,"レ","")</f>
        <v/>
      </c>
      <c r="K55" s="22" t="str">
        <f>IF(第５群!$B25=4,"レ","")</f>
        <v/>
      </c>
      <c r="L55" s="57"/>
      <c r="M55" s="52" t="str">
        <f>IF(第５群!C22="","",CLEAN(第５群!C22))</f>
        <v/>
      </c>
      <c r="N55" s="80">
        <f t="shared" si="1"/>
        <v>0</v>
      </c>
      <c r="O55" s="80">
        <f t="shared" si="0"/>
        <v>0</v>
      </c>
    </row>
    <row r="56" spans="1:15" x14ac:dyDescent="0.15">
      <c r="A56" s="22">
        <v>1</v>
      </c>
      <c r="B56" s="22" t="s">
        <v>320</v>
      </c>
      <c r="E56">
        <f>IF(M56="",0,MAX($E$2:E55)+1)</f>
        <v>0</v>
      </c>
      <c r="F56" s="42" t="s">
        <v>290</v>
      </c>
      <c r="G56" s="38" t="s">
        <v>269</v>
      </c>
      <c r="H56" s="22" t="str">
        <f>IF(第５群!$B34=1,"レ","")</f>
        <v/>
      </c>
      <c r="I56" s="22" t="str">
        <f>IF(第５群!$B34=2,"レ","")</f>
        <v/>
      </c>
      <c r="J56" s="22" t="str">
        <f>IF(第５群!$B34=3,"レ","")</f>
        <v/>
      </c>
      <c r="K56" s="39"/>
      <c r="L56" s="57"/>
      <c r="M56" s="52" t="str">
        <f>IF(第５群!C31="","",CLEAN(第５群!C31))</f>
        <v/>
      </c>
      <c r="N56" s="80">
        <f t="shared" si="1"/>
        <v>0</v>
      </c>
      <c r="O56" s="80">
        <f t="shared" si="0"/>
        <v>0</v>
      </c>
    </row>
    <row r="57" spans="1:15" x14ac:dyDescent="0.15">
      <c r="A57" s="22">
        <v>2</v>
      </c>
      <c r="B57" s="22" t="s">
        <v>321</v>
      </c>
      <c r="E57">
        <f>IF(M57="",0,MAX($E$2:E56)+1)</f>
        <v>0</v>
      </c>
      <c r="F57" s="42" t="s">
        <v>290</v>
      </c>
      <c r="G57" s="38" t="s">
        <v>270</v>
      </c>
      <c r="H57" s="22" t="str">
        <f>IF(第５群!$B43=1,"レ","")</f>
        <v/>
      </c>
      <c r="I57" s="22" t="str">
        <f>IF(第５群!$B43=2,"レ","")</f>
        <v/>
      </c>
      <c r="J57" s="22" t="str">
        <f>IF(第５群!$B43=3,"レ","")</f>
        <v/>
      </c>
      <c r="K57" s="22" t="str">
        <f>IF(第５群!$B43=4,"レ","")</f>
        <v/>
      </c>
      <c r="L57" s="57"/>
      <c r="M57" s="52" t="str">
        <f>IF(第５群!C40="","",CLEAN(第５群!C40))</f>
        <v/>
      </c>
      <c r="N57" s="80">
        <f t="shared" si="1"/>
        <v>0</v>
      </c>
      <c r="O57" s="80">
        <f t="shared" si="0"/>
        <v>0</v>
      </c>
    </row>
    <row r="58" spans="1:15" ht="14.25" thickBot="1" x14ac:dyDescent="0.2">
      <c r="E58">
        <f>IF(M58="",0,MAX($E$2:E57)+1)</f>
        <v>0</v>
      </c>
      <c r="F58" s="48" t="s">
        <v>290</v>
      </c>
      <c r="G58" s="49" t="s">
        <v>271</v>
      </c>
      <c r="H58" s="56" t="str">
        <f>IF(第５群!$B52=1,"レ","")</f>
        <v/>
      </c>
      <c r="I58" s="56" t="str">
        <f>IF(第５群!$B52=2,"レ","")</f>
        <v/>
      </c>
      <c r="J58" s="56" t="str">
        <f>IF(第５群!$B52=3,"レ","")</f>
        <v/>
      </c>
      <c r="K58" s="56" t="str">
        <f>IF(第５群!$B52=4,"レ","")</f>
        <v/>
      </c>
      <c r="L58" s="57"/>
      <c r="M58" s="52" t="str">
        <f>IF(第５群!C49="","",CLEAN(第５群!C49))</f>
        <v/>
      </c>
      <c r="N58" s="80">
        <f t="shared" si="1"/>
        <v>0</v>
      </c>
      <c r="O58" s="80">
        <f t="shared" si="0"/>
        <v>0</v>
      </c>
    </row>
    <row r="59" spans="1:15" x14ac:dyDescent="0.15">
      <c r="E59">
        <f>IF(M59="",0,MAX($E$2:E58)+1)</f>
        <v>0</v>
      </c>
      <c r="F59" s="40" t="s">
        <v>291</v>
      </c>
      <c r="G59" s="46" t="s">
        <v>272</v>
      </c>
      <c r="H59" s="296">
        <f>COUNTIF(B15:B26,TRUE)</f>
        <v>0</v>
      </c>
      <c r="I59" s="55"/>
      <c r="J59" s="55"/>
      <c r="K59" s="55"/>
      <c r="L59" s="55"/>
      <c r="M59" s="51" t="str">
        <f>IF('第６，７群 '!C4="","",CLEAN('第６，７群 '!C4))</f>
        <v/>
      </c>
      <c r="N59" t="str">
        <f>IF(C15="","",C15)</f>
        <v/>
      </c>
      <c r="O59" s="80">
        <f t="shared" si="0"/>
        <v>0</v>
      </c>
    </row>
    <row r="60" spans="1:15" x14ac:dyDescent="0.15">
      <c r="A60" s="72" t="s">
        <v>339</v>
      </c>
      <c r="E60">
        <f>IF(M60="",0,MAX($E$2:E59)+1)</f>
        <v>0</v>
      </c>
      <c r="F60" s="42" t="s">
        <v>291</v>
      </c>
      <c r="G60" s="38" t="s">
        <v>273</v>
      </c>
      <c r="H60" s="297"/>
      <c r="I60" s="57"/>
      <c r="J60" s="57"/>
      <c r="K60" s="57"/>
      <c r="L60" s="57"/>
      <c r="M60" s="52" t="str">
        <f>IF('第６，７群 '!C13="","",CLEAN('第６，７群 '!C13))</f>
        <v/>
      </c>
      <c r="N60" t="str">
        <f t="shared" ref="N60:N70" si="3">IF(C16="","",C16)</f>
        <v/>
      </c>
      <c r="O60" s="80">
        <f t="shared" si="0"/>
        <v>0</v>
      </c>
    </row>
    <row r="61" spans="1:15" x14ac:dyDescent="0.15">
      <c r="A61" s="27">
        <f>IF($M$78&lt;=23,1,"")</f>
        <v>1</v>
      </c>
      <c r="E61">
        <f>IF(M61="",0,MAX($E$2:E60)+1)</f>
        <v>0</v>
      </c>
      <c r="F61" s="42" t="s">
        <v>291</v>
      </c>
      <c r="G61" s="38" t="s">
        <v>274</v>
      </c>
      <c r="H61" s="297"/>
      <c r="I61" s="57"/>
      <c r="J61" s="57"/>
      <c r="K61" s="57"/>
      <c r="L61" s="57"/>
      <c r="M61" s="52" t="str">
        <f>IF('第６，７群 '!C22="","",CLEAN('第６，７群 '!C22))</f>
        <v/>
      </c>
      <c r="N61" t="str">
        <f t="shared" si="3"/>
        <v/>
      </c>
      <c r="O61" s="80">
        <f t="shared" si="0"/>
        <v>0</v>
      </c>
    </row>
    <row r="62" spans="1:15" x14ac:dyDescent="0.15">
      <c r="A62" s="27" t="str">
        <f>IF(AND($M$78&gt;=24,$M$78&lt;=47),2,"")</f>
        <v/>
      </c>
      <c r="E62">
        <f>IF(M62="",0,MAX($E$2:E61)+1)</f>
        <v>0</v>
      </c>
      <c r="F62" s="42" t="s">
        <v>291</v>
      </c>
      <c r="G62" s="38" t="s">
        <v>275</v>
      </c>
      <c r="H62" s="297"/>
      <c r="I62" s="57"/>
      <c r="J62" s="57"/>
      <c r="K62" s="57"/>
      <c r="L62" s="57"/>
      <c r="M62" s="52" t="str">
        <f>IF('第６，７群 '!C31="","",CLEAN('第６，７群 '!C31))</f>
        <v/>
      </c>
      <c r="N62" t="str">
        <f t="shared" si="3"/>
        <v/>
      </c>
      <c r="O62" s="80">
        <f t="shared" si="0"/>
        <v>0</v>
      </c>
    </row>
    <row r="63" spans="1:15" x14ac:dyDescent="0.15">
      <c r="A63" s="27" t="str">
        <f>IF(AND($M$78&gt;=48,$M$78&lt;=71),3,"")</f>
        <v/>
      </c>
      <c r="E63">
        <f>IF(M63="",0,MAX($E$2:E62)+1)</f>
        <v>0</v>
      </c>
      <c r="F63" s="42" t="s">
        <v>291</v>
      </c>
      <c r="G63" s="38" t="s">
        <v>276</v>
      </c>
      <c r="H63" s="297"/>
      <c r="I63" s="57"/>
      <c r="J63" s="57"/>
      <c r="K63" s="57"/>
      <c r="L63" s="57"/>
      <c r="M63" s="52" t="str">
        <f>IF('第６，７群 '!C40="","",CLEAN('第６，７群 '!C40))</f>
        <v/>
      </c>
      <c r="N63" t="str">
        <f t="shared" si="3"/>
        <v/>
      </c>
      <c r="O63" s="80">
        <f t="shared" si="0"/>
        <v>0</v>
      </c>
    </row>
    <row r="64" spans="1:15" ht="14.25" thickBot="1" x14ac:dyDescent="0.2">
      <c r="A64" s="27" t="str">
        <f>IF($M$78&gt;=72,3,"")</f>
        <v/>
      </c>
      <c r="E64">
        <f>IF(M64="",0,MAX($E$2:E63)+1)</f>
        <v>0</v>
      </c>
      <c r="F64" s="42" t="s">
        <v>291</v>
      </c>
      <c r="G64" s="38" t="s">
        <v>277</v>
      </c>
      <c r="H64" s="297"/>
      <c r="I64" s="57"/>
      <c r="J64" s="57"/>
      <c r="K64" s="57"/>
      <c r="L64" s="57"/>
      <c r="M64" s="52" t="str">
        <f>IF('第６，７群 '!C49="","",CLEAN('第６，７群 '!C49))</f>
        <v/>
      </c>
      <c r="N64" t="str">
        <f t="shared" si="3"/>
        <v/>
      </c>
      <c r="O64" s="80">
        <f t="shared" si="0"/>
        <v>0</v>
      </c>
    </row>
    <row r="65" spans="1:15" ht="14.25" thickBot="1" x14ac:dyDescent="0.2">
      <c r="A65" s="103">
        <f>SUM(A61:A64)</f>
        <v>1</v>
      </c>
      <c r="E65">
        <f>IF(M65="",0,MAX($E$2:E64)+1)</f>
        <v>0</v>
      </c>
      <c r="F65" s="42" t="s">
        <v>291</v>
      </c>
      <c r="G65" s="38" t="s">
        <v>278</v>
      </c>
      <c r="H65" s="297"/>
      <c r="I65" s="57"/>
      <c r="J65" s="57"/>
      <c r="K65" s="57"/>
      <c r="L65" s="57"/>
      <c r="M65" s="52" t="str">
        <f>IF('第６，７群 '!C58="","",CLEAN('第６，７群 '!C58))</f>
        <v/>
      </c>
      <c r="N65" t="str">
        <f t="shared" si="3"/>
        <v/>
      </c>
      <c r="O65" s="80">
        <f t="shared" si="0"/>
        <v>0</v>
      </c>
    </row>
    <row r="66" spans="1:15" x14ac:dyDescent="0.15">
      <c r="E66">
        <f>IF(M66="",0,MAX($E$2:E65)+1)</f>
        <v>0</v>
      </c>
      <c r="F66" s="42" t="s">
        <v>291</v>
      </c>
      <c r="G66" s="38" t="s">
        <v>279</v>
      </c>
      <c r="H66" s="297"/>
      <c r="I66" s="57"/>
      <c r="J66" s="57"/>
      <c r="K66" s="57"/>
      <c r="L66" s="57"/>
      <c r="M66" s="52" t="str">
        <f>IF('第６，７群 '!C67="","",CLEAN('第６，７群 '!C67))</f>
        <v/>
      </c>
      <c r="N66" t="str">
        <f t="shared" si="3"/>
        <v/>
      </c>
      <c r="O66" s="80">
        <f t="shared" si="0"/>
        <v>0</v>
      </c>
    </row>
    <row r="67" spans="1:15" x14ac:dyDescent="0.15">
      <c r="E67">
        <f>IF(M67="",0,MAX($E$2:E66)+1)</f>
        <v>0</v>
      </c>
      <c r="F67" s="42" t="s">
        <v>291</v>
      </c>
      <c r="G67" s="38" t="s">
        <v>280</v>
      </c>
      <c r="H67" s="297"/>
      <c r="I67" s="57"/>
      <c r="J67" s="57"/>
      <c r="K67" s="57"/>
      <c r="L67" s="57"/>
      <c r="M67" s="52" t="str">
        <f>IF('第６，７群 '!C76="","",CLEAN('第６，７群 '!C76))</f>
        <v/>
      </c>
      <c r="N67" t="str">
        <f t="shared" si="3"/>
        <v/>
      </c>
      <c r="O67" s="80">
        <f t="shared" si="0"/>
        <v>0</v>
      </c>
    </row>
    <row r="68" spans="1:15" x14ac:dyDescent="0.15">
      <c r="E68">
        <f>IF(M68="",0,MAX($E$2:E67)+1)</f>
        <v>0</v>
      </c>
      <c r="F68" s="42" t="s">
        <v>291</v>
      </c>
      <c r="G68" s="38" t="s">
        <v>281</v>
      </c>
      <c r="H68" s="297"/>
      <c r="I68" s="57"/>
      <c r="J68" s="57"/>
      <c r="K68" s="57"/>
      <c r="L68" s="57"/>
      <c r="M68" s="52" t="str">
        <f>IF('第６，７群 '!C85="","",CLEAN('第６，７群 '!C85))</f>
        <v/>
      </c>
      <c r="N68" t="str">
        <f t="shared" si="3"/>
        <v/>
      </c>
      <c r="O68" s="80">
        <f t="shared" si="0"/>
        <v>0</v>
      </c>
    </row>
    <row r="69" spans="1:15" x14ac:dyDescent="0.15">
      <c r="E69">
        <f>IF(M69="",0,MAX($E$2:E68)+1)</f>
        <v>0</v>
      </c>
      <c r="F69" s="42" t="s">
        <v>291</v>
      </c>
      <c r="G69" s="38" t="s">
        <v>282</v>
      </c>
      <c r="H69" s="297"/>
      <c r="I69" s="57"/>
      <c r="J69" s="57"/>
      <c r="K69" s="57"/>
      <c r="L69" s="57"/>
      <c r="M69" s="52" t="str">
        <f>IF('第６，７群 '!C94="","",CLEAN('第６，７群 '!C94))</f>
        <v/>
      </c>
      <c r="N69" t="str">
        <f t="shared" si="3"/>
        <v/>
      </c>
      <c r="O69" s="80">
        <f>LEN(M69)</f>
        <v>0</v>
      </c>
    </row>
    <row r="70" spans="1:15" ht="14.25" thickBot="1" x14ac:dyDescent="0.2">
      <c r="E70">
        <f>IF(M70="",0,MAX($E$2:E69)+1)</f>
        <v>0</v>
      </c>
      <c r="F70" s="48" t="s">
        <v>291</v>
      </c>
      <c r="G70" s="49" t="s">
        <v>283</v>
      </c>
      <c r="H70" s="298"/>
      <c r="I70" s="57"/>
      <c r="J70" s="57"/>
      <c r="K70" s="57"/>
      <c r="L70" s="57"/>
      <c r="M70" s="52" t="str">
        <f>IF('第６，７群 '!C103="","",CLEAN('第６，７群 '!C103))</f>
        <v/>
      </c>
      <c r="N70" t="str">
        <f t="shared" si="3"/>
        <v/>
      </c>
      <c r="O70" s="80">
        <f>LEN(M70)</f>
        <v>0</v>
      </c>
    </row>
    <row r="71" spans="1:15" x14ac:dyDescent="0.15">
      <c r="E71">
        <f>IF(M71="",0,MAX($E$2:E70)+1)</f>
        <v>0</v>
      </c>
      <c r="F71" s="299" t="s">
        <v>292</v>
      </c>
      <c r="G71" s="302" t="s">
        <v>284</v>
      </c>
      <c r="H71" s="54" t="str">
        <f>IF('第６，７群 '!$L$7="自立","レ","")</f>
        <v/>
      </c>
      <c r="I71" s="54" t="str">
        <f>IF('第６，７群 '!$L$7="J1","レ","")</f>
        <v/>
      </c>
      <c r="J71" s="54" t="str">
        <f>IF('第６，７群 '!$L$7="J2","レ","")</f>
        <v/>
      </c>
      <c r="K71" s="54" t="str">
        <f>IF('第６，７群 '!$L$7="A1","レ","")</f>
        <v/>
      </c>
      <c r="L71" s="54" t="str">
        <f>IF('第６，７群 '!$L$7="A2","レ","")</f>
        <v/>
      </c>
      <c r="M71" s="290" t="str">
        <f>IF('第６，７群 '!M4="","",CLEAN('第６，７群 '!M4))</f>
        <v/>
      </c>
      <c r="N71" s="6"/>
      <c r="O71" s="307">
        <f>LEN(M71)</f>
        <v>0</v>
      </c>
    </row>
    <row r="72" spans="1:15" x14ac:dyDescent="0.15">
      <c r="E72">
        <f>IF(M72="",0,MAX($E$2:E71)+1)</f>
        <v>0</v>
      </c>
      <c r="F72" s="300"/>
      <c r="G72" s="303"/>
      <c r="H72" s="56" t="str">
        <f>IF('第６，７群 '!$L$7="B1","レ","")</f>
        <v/>
      </c>
      <c r="I72" s="56" t="str">
        <f>IF('第６，７群 '!$L$7="B2","レ","")</f>
        <v/>
      </c>
      <c r="J72" s="56" t="str">
        <f>IF('第６，７群 '!$L$7="C1","レ","")</f>
        <v/>
      </c>
      <c r="K72" s="56" t="str">
        <f>IF('第６，７群 '!$L$7="C2","レ","")</f>
        <v/>
      </c>
      <c r="L72" s="57"/>
      <c r="M72" s="291"/>
      <c r="N72" s="6"/>
      <c r="O72" s="307"/>
    </row>
    <row r="73" spans="1:15" x14ac:dyDescent="0.15">
      <c r="E73">
        <f>IF(M73="",0,MAX($E$2:E72)+1)</f>
        <v>0</v>
      </c>
      <c r="F73" s="300" t="s">
        <v>292</v>
      </c>
      <c r="G73" s="303" t="s">
        <v>285</v>
      </c>
      <c r="H73" s="22" t="str">
        <f>IF('第６，７群 '!$L$16="自立","レ","")</f>
        <v/>
      </c>
      <c r="I73" s="22" t="str">
        <f>IF('第６，７群 '!$L$16="Ⅰ","レ","")</f>
        <v/>
      </c>
      <c r="J73" s="22" t="str">
        <f>IF('第６，７群 '!$L$16="Ⅱa","レ","")</f>
        <v/>
      </c>
      <c r="K73" s="22" t="str">
        <f>IF('第６，７群 '!$L$16="Ⅱb","レ","")</f>
        <v/>
      </c>
      <c r="L73" s="22" t="str">
        <f>IF('第６，７群 '!$L$16="Ⅲa","レ","")</f>
        <v/>
      </c>
      <c r="M73" s="291" t="str">
        <f>IF('第６，７群 '!M13="","",CLEAN('第６，７群 '!M13))</f>
        <v/>
      </c>
      <c r="N73" s="6"/>
      <c r="O73" s="307">
        <f>LEN(M73)</f>
        <v>0</v>
      </c>
    </row>
    <row r="74" spans="1:15" ht="14.25" thickBot="1" x14ac:dyDescent="0.2">
      <c r="E74">
        <f>IF(M74="",0,MAX($E$2:E73)+1)</f>
        <v>0</v>
      </c>
      <c r="F74" s="301"/>
      <c r="G74" s="304"/>
      <c r="H74" s="60" t="str">
        <f>IF('第６，７群 '!$L$16="Ⅲb","レ","")</f>
        <v/>
      </c>
      <c r="I74" s="60" t="str">
        <f>IF('第６，７群 '!$L$16="Ⅳ","レ","")</f>
        <v/>
      </c>
      <c r="J74" s="60" t="str">
        <f>IF('第６，７群 '!$L$16="M","レ","")</f>
        <v/>
      </c>
      <c r="K74" s="59"/>
      <c r="L74" s="59"/>
      <c r="M74" s="292"/>
      <c r="N74" s="6"/>
      <c r="O74" s="307"/>
    </row>
    <row r="75" spans="1:15" x14ac:dyDescent="0.15">
      <c r="E75">
        <f>IF(M75="",0,MAX($E$2:E74)+1)</f>
        <v>0</v>
      </c>
      <c r="F75" s="67" t="s">
        <v>381</v>
      </c>
      <c r="G75" s="125" t="s">
        <v>381</v>
      </c>
      <c r="H75" s="55"/>
      <c r="I75" s="55"/>
      <c r="J75" s="55"/>
      <c r="K75" s="55"/>
      <c r="L75" s="55"/>
      <c r="M75" s="73" t="str">
        <f>IF(基本情報!W25="","",CLEAN(基本情報!W25))</f>
        <v/>
      </c>
      <c r="N75" s="6"/>
      <c r="O75" s="80">
        <f>LEN(M75)</f>
        <v>0</v>
      </c>
    </row>
    <row r="76" spans="1:15" x14ac:dyDescent="0.15">
      <c r="E76">
        <f>IF(M76="",0,MAX($E$2:E75)+1)</f>
        <v>0</v>
      </c>
      <c r="F76" s="149" t="s">
        <v>381</v>
      </c>
      <c r="G76" s="150" t="s">
        <v>381</v>
      </c>
      <c r="H76" s="57"/>
      <c r="I76" s="57"/>
      <c r="J76" s="57"/>
      <c r="K76" s="57"/>
      <c r="L76" s="57"/>
      <c r="M76" s="147" t="str">
        <f>IF(基本情報!W35="","",CLEAN(基本情報!W35))</f>
        <v/>
      </c>
      <c r="N76" s="6"/>
      <c r="O76" s="80">
        <f>LEN(M76)</f>
        <v>0</v>
      </c>
    </row>
    <row r="77" spans="1:15" ht="14.25" thickBot="1" x14ac:dyDescent="0.2">
      <c r="A77" s="69" t="s">
        <v>362</v>
      </c>
      <c r="B77" s="27">
        <f>エラー!B23+エラー!E41+エラー!I43</f>
        <v>74</v>
      </c>
      <c r="C77" s="27">
        <f>IF(B77&gt;=1,2,0)</f>
        <v>2</v>
      </c>
      <c r="E77">
        <f>IF(M77="",0,MAX($E$2:E76)+1)</f>
        <v>0</v>
      </c>
      <c r="F77" s="68" t="s">
        <v>407</v>
      </c>
      <c r="G77" s="126" t="s">
        <v>407</v>
      </c>
      <c r="H77" s="59"/>
      <c r="I77" s="59"/>
      <c r="J77" s="59"/>
      <c r="K77" s="59"/>
      <c r="L77" s="59"/>
      <c r="M77" s="74" t="str">
        <f>IF(基本情報!W45="","",CLEAN(基本情報!W45))</f>
        <v/>
      </c>
      <c r="N77" s="6"/>
      <c r="O77" s="80">
        <f>LEN(M77)</f>
        <v>0</v>
      </c>
    </row>
    <row r="78" spans="1:15" ht="14.25" thickBot="1" x14ac:dyDescent="0.2">
      <c r="A78" s="69" t="s">
        <v>363</v>
      </c>
      <c r="B78" s="27">
        <f>エラー!B24+エラー!E42+エラー!I44+エラー!S61</f>
        <v>0</v>
      </c>
      <c r="C78" s="122">
        <f>IF(B78&gt;=1,1,0)</f>
        <v>0</v>
      </c>
      <c r="D78" s="103">
        <f>C77+C78</f>
        <v>2</v>
      </c>
      <c r="M78" s="124">
        <f>76-COUNTBLANK(M2:M77)</f>
        <v>0</v>
      </c>
    </row>
    <row r="80" spans="1:15" x14ac:dyDescent="0.15">
      <c r="A80" s="22">
        <v>0</v>
      </c>
      <c r="B80" t="s">
        <v>367</v>
      </c>
    </row>
    <row r="81" spans="1:2" x14ac:dyDescent="0.15">
      <c r="A81" s="22">
        <v>1</v>
      </c>
      <c r="B81" t="s">
        <v>368</v>
      </c>
    </row>
    <row r="82" spans="1:2" x14ac:dyDescent="0.15">
      <c r="A82" s="22">
        <v>2</v>
      </c>
      <c r="B82" t="s">
        <v>366</v>
      </c>
    </row>
    <row r="83" spans="1:2" x14ac:dyDescent="0.15">
      <c r="A83" s="22">
        <v>3</v>
      </c>
      <c r="B83" t="s">
        <v>366</v>
      </c>
    </row>
  </sheetData>
  <mergeCells count="29">
    <mergeCell ref="W11:X11"/>
    <mergeCell ref="P13:P14"/>
    <mergeCell ref="Q14:S14"/>
    <mergeCell ref="T14:V14"/>
    <mergeCell ref="W14:Z14"/>
    <mergeCell ref="O71:O72"/>
    <mergeCell ref="O73:O74"/>
    <mergeCell ref="Q2:R2"/>
    <mergeCell ref="S2:T2"/>
    <mergeCell ref="U2:V2"/>
    <mergeCell ref="P1:P2"/>
    <mergeCell ref="P10:P11"/>
    <mergeCell ref="Q11:S11"/>
    <mergeCell ref="T11:V11"/>
    <mergeCell ref="T17:T18"/>
    <mergeCell ref="U18:V18"/>
    <mergeCell ref="M71:M72"/>
    <mergeCell ref="M73:M74"/>
    <mergeCell ref="H1:L1"/>
    <mergeCell ref="A14:B14"/>
    <mergeCell ref="H59:H70"/>
    <mergeCell ref="F71:F72"/>
    <mergeCell ref="F73:F74"/>
    <mergeCell ref="G71:G72"/>
    <mergeCell ref="G73:G74"/>
    <mergeCell ref="A29:B29"/>
    <mergeCell ref="A33:B33"/>
    <mergeCell ref="A44:B44"/>
    <mergeCell ref="A55:B55"/>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AC62"/>
  <sheetViews>
    <sheetView showGridLines="0" zoomScaleNormal="100" workbookViewId="0">
      <selection activeCell="B14" sqref="B14"/>
    </sheetView>
  </sheetViews>
  <sheetFormatPr defaultColWidth="9" defaultRowHeight="14.1" customHeight="1" x14ac:dyDescent="0.15"/>
  <cols>
    <col min="1" max="1" width="12.875" style="81" bestFit="1" customWidth="1"/>
    <col min="2" max="2" width="29.625" style="81" bestFit="1" customWidth="1"/>
    <col min="3" max="3" width="4.625" style="81" customWidth="1"/>
    <col min="4" max="4" width="23" style="81" bestFit="1" customWidth="1"/>
    <col min="5" max="5" width="9" style="83"/>
    <col min="6" max="6" width="9" style="84"/>
    <col min="7" max="7" width="4.625" style="81" customWidth="1"/>
    <col min="8" max="8" width="26.375" style="81" bestFit="1" customWidth="1"/>
    <col min="9" max="9" width="9" style="83"/>
    <col min="10" max="28" width="9" style="81"/>
    <col min="29" max="29" width="3.625" style="81" customWidth="1"/>
    <col min="30" max="16384" width="9" style="81"/>
  </cols>
  <sheetData>
    <row r="1" spans="1:29" ht="14.1" customHeight="1" x14ac:dyDescent="0.15">
      <c r="AC1" s="117"/>
    </row>
    <row r="2" spans="1:29" ht="14.1" customHeight="1" x14ac:dyDescent="0.15">
      <c r="A2" s="321" t="s">
        <v>359</v>
      </c>
      <c r="B2" s="321"/>
      <c r="D2" s="82" t="s">
        <v>329</v>
      </c>
      <c r="E2" s="134" t="s">
        <v>386</v>
      </c>
      <c r="F2" s="135" t="s">
        <v>387</v>
      </c>
      <c r="H2" s="82" t="s">
        <v>332</v>
      </c>
      <c r="I2" s="134" t="s">
        <v>386</v>
      </c>
      <c r="J2" s="135" t="s">
        <v>387</v>
      </c>
      <c r="K2" s="152"/>
      <c r="N2" s="100" t="s">
        <v>338</v>
      </c>
      <c r="R2" s="315" t="s">
        <v>337</v>
      </c>
      <c r="S2" s="316"/>
      <c r="T2" s="316"/>
      <c r="U2" s="316"/>
      <c r="V2" s="316"/>
      <c r="W2" s="316"/>
      <c r="X2" s="316"/>
      <c r="Y2" s="316"/>
      <c r="Z2" s="317"/>
      <c r="AC2" s="117"/>
    </row>
    <row r="3" spans="1:29" ht="14.1" customHeight="1" x14ac:dyDescent="0.15">
      <c r="A3" s="86" t="s">
        <v>0</v>
      </c>
      <c r="B3" s="87" t="str">
        <f>IF(基本情報!B2="","必須項目が未入力です！","")</f>
        <v>必須項目が未入力です！</v>
      </c>
      <c r="D3" s="37" t="s">
        <v>221</v>
      </c>
      <c r="E3" s="129"/>
      <c r="F3" s="88" t="str">
        <f>IF(AND(計算シート!N4=1,計算シート!M4=""),"特記なし","")</f>
        <v/>
      </c>
      <c r="H3" s="38" t="s">
        <v>251</v>
      </c>
      <c r="I3" s="87" t="str">
        <f>IF('第４群 '!$B$7="","未選択","")</f>
        <v>未選択</v>
      </c>
      <c r="J3" s="88" t="str">
        <f>IF(AND(計算シート!N38=1,計算シート!M38=""),"特記なし","")</f>
        <v/>
      </c>
      <c r="K3" s="84"/>
      <c r="N3" s="94" t="str">
        <f>IF(計算シート!M78&gt;74,"特記事項が74を超えています。","")</f>
        <v/>
      </c>
      <c r="O3" s="101"/>
      <c r="P3" s="102"/>
      <c r="R3" s="89">
        <v>1</v>
      </c>
      <c r="S3" s="99" t="str">
        <f>IF(AND(第１群!B25=3,第１群!B88=1),"「1-3寝返り」が「3.できない」にもかかわらず、「1-10洗身」が「1.介助されていない」","")</f>
        <v/>
      </c>
      <c r="T3" s="95"/>
      <c r="U3" s="95"/>
      <c r="V3" s="95"/>
      <c r="W3" s="95"/>
      <c r="X3" s="95"/>
      <c r="Y3" s="95"/>
      <c r="Z3" s="96"/>
      <c r="AC3" s="117"/>
    </row>
    <row r="4" spans="1:29" ht="14.1" customHeight="1" x14ac:dyDescent="0.15">
      <c r="A4" s="90" t="s">
        <v>370</v>
      </c>
      <c r="B4" s="87" t="str">
        <f>IF(基本情報!B3="","必須項目が未入力です！","")</f>
        <v>必須項目が未入力です！</v>
      </c>
      <c r="D4" s="37" t="s">
        <v>222</v>
      </c>
      <c r="E4" s="130"/>
      <c r="F4" s="88" t="str">
        <f>IF(AND(計算シート!N5=1,計算シート!M5=""),"特記なし","")</f>
        <v/>
      </c>
      <c r="H4" s="38" t="s">
        <v>252</v>
      </c>
      <c r="I4" s="87" t="str">
        <f>IF('第４群 '!$B$16="","未選択","")</f>
        <v>未選択</v>
      </c>
      <c r="J4" s="88" t="str">
        <f>IF(AND(計算シート!N39=1,計算シート!M39=""),"特記なし","")</f>
        <v/>
      </c>
      <c r="K4" s="84"/>
      <c r="R4" s="89">
        <v>2</v>
      </c>
      <c r="S4" s="99" t="str">
        <f>IF(AND(第１群!$B$34=3,第１群!B70=1),"「1-4起き上がり」が「3.できない」にもかかわらず、「1-8立ち上がり」が「1.できる」","")</f>
        <v/>
      </c>
      <c r="T4" s="95"/>
      <c r="U4" s="95"/>
      <c r="V4" s="95"/>
      <c r="W4" s="95"/>
      <c r="X4" s="95"/>
      <c r="Y4" s="95"/>
      <c r="Z4" s="96"/>
      <c r="AC4" s="117"/>
    </row>
    <row r="5" spans="1:29" ht="14.1" customHeight="1" x14ac:dyDescent="0.15">
      <c r="A5" s="91" t="s">
        <v>300</v>
      </c>
      <c r="B5" s="87" t="str">
        <f>IF(基本情報!B4="","必須項目が未入力です！","")</f>
        <v>必須項目が未入力です！</v>
      </c>
      <c r="D5" s="37" t="s">
        <v>223</v>
      </c>
      <c r="E5" s="87" t="str">
        <f>IF(第１群!$B$25="","未選択","")</f>
        <v>未選択</v>
      </c>
      <c r="F5" s="88" t="str">
        <f>IF(AND(計算シート!N6=1,計算シート!M6=""),"特記なし","")</f>
        <v/>
      </c>
      <c r="H5" s="38" t="s">
        <v>253</v>
      </c>
      <c r="I5" s="87" t="str">
        <f>IF('第４群 '!$B$25="","未選択","")</f>
        <v>未選択</v>
      </c>
      <c r="J5" s="88" t="str">
        <f>IF(AND(計算シート!N40=1,計算シート!M40=""),"特記なし","")</f>
        <v/>
      </c>
      <c r="K5" s="84"/>
      <c r="R5" s="89">
        <v>3</v>
      </c>
      <c r="S5" s="99" t="str">
        <f>IF(AND(第１群!$B$34=3,第１群!B88=1),"「1-4起き上がり」が「3.できない」にもかかわらず、「1-10洗身」が「1.介助されていない」","")</f>
        <v/>
      </c>
      <c r="T5" s="95"/>
      <c r="U5" s="95"/>
      <c r="V5" s="95"/>
      <c r="W5" s="95"/>
      <c r="X5" s="95"/>
      <c r="Y5" s="95"/>
      <c r="Z5" s="96"/>
      <c r="AC5" s="117"/>
    </row>
    <row r="6" spans="1:29" ht="14.1" customHeight="1" x14ac:dyDescent="0.15">
      <c r="A6" s="90" t="s">
        <v>325</v>
      </c>
      <c r="B6" s="87" t="str">
        <f>IF(AND(基本情報!B5&lt;&gt;"",基本情報!D5&lt;&gt;"",基本情報!F5&lt;&gt;"",基本情報!H5&lt;&gt;""),"","必須項目が未入力です！")</f>
        <v>必須項目が未入力です！</v>
      </c>
      <c r="D6" s="37" t="s">
        <v>224</v>
      </c>
      <c r="E6" s="87" t="str">
        <f>IF(第１群!$B$34="","未選択","")</f>
        <v>未選択</v>
      </c>
      <c r="F6" s="88" t="str">
        <f>IF(AND(計算シート!N7=1,計算シート!M7=""),"特記なし","")</f>
        <v/>
      </c>
      <c r="H6" s="38" t="s">
        <v>254</v>
      </c>
      <c r="I6" s="87" t="str">
        <f>IF('第４群 '!$B$34="","未選択","")</f>
        <v>未選択</v>
      </c>
      <c r="J6" s="88" t="str">
        <f>IF(AND(計算シート!N41=1,計算シート!M41=""),"特記なし","")</f>
        <v/>
      </c>
      <c r="K6" s="84"/>
      <c r="R6" s="89">
        <v>4</v>
      </c>
      <c r="S6" s="99" t="str">
        <f>IF(AND(第１群!$B$43=3,第１群!B79=1),"「1-5座位保持」が「3.支えが必要」にもかかわらず、「1-9片足での立位」が「1.できる」","")</f>
        <v/>
      </c>
      <c r="T6" s="95"/>
      <c r="U6" s="95"/>
      <c r="V6" s="95"/>
      <c r="W6" s="95"/>
      <c r="X6" s="95"/>
      <c r="Y6" s="95"/>
      <c r="Z6" s="96"/>
      <c r="AC6" s="117"/>
    </row>
    <row r="7" spans="1:29" ht="14.1" customHeight="1" x14ac:dyDescent="0.15">
      <c r="A7" s="90" t="s">
        <v>416</v>
      </c>
      <c r="B7" s="87" t="str">
        <f>IF(基本情報!B7="","必須項目が未入力です！","")</f>
        <v>必須項目が未入力です！</v>
      </c>
      <c r="D7" s="37" t="s">
        <v>225</v>
      </c>
      <c r="E7" s="87" t="str">
        <f>IF(第１群!$B$43="","未選択","")</f>
        <v>未選択</v>
      </c>
      <c r="F7" s="88" t="str">
        <f>IF(AND(計算シート!N8=1,計算シート!M8=""),"特記なし","")</f>
        <v/>
      </c>
      <c r="H7" s="38" t="s">
        <v>255</v>
      </c>
      <c r="I7" s="87" t="str">
        <f>IF('第４群 '!$B$43="","未選択","")</f>
        <v>未選択</v>
      </c>
      <c r="J7" s="88" t="str">
        <f>IF(AND(計算シート!N42=1,計算シート!M42=""),"特記なし","")</f>
        <v/>
      </c>
      <c r="K7" s="84"/>
      <c r="R7" s="89">
        <v>5</v>
      </c>
      <c r="S7" s="99" t="str">
        <f>IF(AND(第１群!$B$43=4,第１群!B52=1),"「1-5座位保持」が「4.できない」にもかかわらず、「1-6両足での立位」が「1.できる」","")</f>
        <v/>
      </c>
      <c r="T7" s="95"/>
      <c r="U7" s="95"/>
      <c r="V7" s="95"/>
      <c r="W7" s="95"/>
      <c r="X7" s="95"/>
      <c r="Y7" s="95"/>
      <c r="Z7" s="96"/>
      <c r="AC7" s="117"/>
    </row>
    <row r="8" spans="1:29" ht="14.1" customHeight="1" x14ac:dyDescent="0.15">
      <c r="A8" s="90" t="s">
        <v>411</v>
      </c>
      <c r="B8" s="87" t="str">
        <f>IF(基本情報!B9="","必須項目が未入力です！","")</f>
        <v>必須項目が未入力です！</v>
      </c>
      <c r="D8" s="37" t="s">
        <v>382</v>
      </c>
      <c r="E8" s="87" t="str">
        <f>IF(第１群!$B$52="","未選択","")</f>
        <v>未選択</v>
      </c>
      <c r="F8" s="88" t="str">
        <f>IF(AND(計算シート!N9=1,計算シート!M9=""),"特記なし","")</f>
        <v/>
      </c>
      <c r="H8" s="38" t="s">
        <v>256</v>
      </c>
      <c r="I8" s="87" t="str">
        <f>IF('第４群 '!$B$52="","未選択","")</f>
        <v>未選択</v>
      </c>
      <c r="J8" s="88" t="str">
        <f>IF(AND(計算シート!N43=1,計算シート!M43=""),"特記なし","")</f>
        <v/>
      </c>
      <c r="K8" s="84"/>
      <c r="R8" s="89">
        <v>6</v>
      </c>
      <c r="S8" s="99" t="str">
        <f>IF(AND(第１群!$B$43=4,第１群!B61=1),"「1-5座位保持」が「4.できない」にもかかわらず、「1-7歩行」が「1.できる」","")</f>
        <v/>
      </c>
      <c r="T8" s="95"/>
      <c r="U8" s="95"/>
      <c r="V8" s="95"/>
      <c r="W8" s="95"/>
      <c r="X8" s="95"/>
      <c r="Y8" s="95"/>
      <c r="Z8" s="96"/>
      <c r="AC8" s="117"/>
    </row>
    <row r="9" spans="1:29" ht="14.1" customHeight="1" x14ac:dyDescent="0.15">
      <c r="A9" s="90" t="s">
        <v>375</v>
      </c>
      <c r="B9" s="87" t="str">
        <f>IF(基本情報!B12="","必須項目が未入力です！","")</f>
        <v>必須項目が未入力です！</v>
      </c>
      <c r="D9" s="37" t="s">
        <v>226</v>
      </c>
      <c r="E9" s="87" t="str">
        <f>IF(第１群!$B$61="","未選択","")</f>
        <v>未選択</v>
      </c>
      <c r="F9" s="88" t="str">
        <f>IF(AND(計算シート!N10=1,計算シート!M10=""),"特記なし","")</f>
        <v/>
      </c>
      <c r="H9" s="38" t="s">
        <v>257</v>
      </c>
      <c r="I9" s="87" t="str">
        <f>IF('第４群 '!$B$61="","未選択","")</f>
        <v>未選択</v>
      </c>
      <c r="J9" s="88" t="str">
        <f>IF(AND(計算シート!N44=1,計算シート!M44=""),"特記なし","")</f>
        <v/>
      </c>
      <c r="K9" s="84"/>
      <c r="R9" s="89">
        <v>7</v>
      </c>
      <c r="S9" s="99" t="str">
        <f>IF(AND(第１群!$B$43=4,第１群!B70=1),"「1-5座位保持」が「4.できない」にもかかわらず、「1-8立ち上がり」が「1.できる」","")</f>
        <v/>
      </c>
      <c r="T9" s="95"/>
      <c r="U9" s="95"/>
      <c r="V9" s="95"/>
      <c r="W9" s="95"/>
      <c r="X9" s="95"/>
      <c r="Y9" s="95"/>
      <c r="Z9" s="96"/>
      <c r="AC9" s="117"/>
    </row>
    <row r="10" spans="1:29" ht="14.1" customHeight="1" x14ac:dyDescent="0.15">
      <c r="A10" s="128" t="s">
        <v>376</v>
      </c>
      <c r="B10" s="87" t="str">
        <f>IF(基本情報!B13="","必須項目が未入力です！","")</f>
        <v>必須項目が未入力です！</v>
      </c>
      <c r="D10" s="37" t="s">
        <v>227</v>
      </c>
      <c r="E10" s="87" t="str">
        <f>IF(第１群!$B$70="","未選択","")</f>
        <v>未選択</v>
      </c>
      <c r="F10" s="88" t="str">
        <f>IF(AND(計算シート!N11=1,計算シート!M11=""),"特記なし","")</f>
        <v/>
      </c>
      <c r="H10" s="38" t="s">
        <v>258</v>
      </c>
      <c r="I10" s="87" t="str">
        <f>IF('第４群 '!$B$70="","未選択","")</f>
        <v>未選択</v>
      </c>
      <c r="J10" s="88" t="str">
        <f>IF(AND(計算シート!N45=1,計算シート!M45=""),"特記なし","")</f>
        <v/>
      </c>
      <c r="K10" s="84"/>
      <c r="R10" s="89">
        <v>8</v>
      </c>
      <c r="S10" s="99" t="str">
        <f>IF(AND(第１群!$B$43=4,第１群!B79=1),"「1-5座位保持」が「4.できない」にもかかわらず、「1-9片足での立位」が「1.できる」","")</f>
        <v/>
      </c>
      <c r="T10" s="95"/>
      <c r="U10" s="95"/>
      <c r="V10" s="95"/>
      <c r="W10" s="95"/>
      <c r="X10" s="95"/>
      <c r="Y10" s="95"/>
      <c r="Z10" s="96"/>
      <c r="AC10" s="117"/>
    </row>
    <row r="11" spans="1:29" ht="14.1" customHeight="1" x14ac:dyDescent="0.15">
      <c r="A11" s="90" t="s">
        <v>377</v>
      </c>
      <c r="B11" s="87" t="str">
        <f>IF(基本情報!B14="","必須項目が未入力です！","")</f>
        <v>必須項目が未入力です！</v>
      </c>
      <c r="D11" s="37" t="s">
        <v>228</v>
      </c>
      <c r="E11" s="87" t="str">
        <f>IF(第１群!$B$79="","未選択","")</f>
        <v>未選択</v>
      </c>
      <c r="F11" s="88" t="str">
        <f>IF(AND(計算シート!N12=1,計算シート!M12=""),"特記なし","")</f>
        <v/>
      </c>
      <c r="H11" s="38" t="s">
        <v>259</v>
      </c>
      <c r="I11" s="87" t="str">
        <f>IF('第４群 '!$B$79="","未選択","")</f>
        <v>未選択</v>
      </c>
      <c r="J11" s="88" t="str">
        <f>IF(AND(計算シート!N46=1,計算シート!M46=""),"特記なし","")</f>
        <v/>
      </c>
      <c r="K11" s="84"/>
      <c r="R11" s="89">
        <v>9</v>
      </c>
      <c r="S11" s="99" t="str">
        <f>IF(AND(第１群!$B$43=4,第１群!B88=1),"「1-5座位保持」が「4.できない」にもかかわらず、「1-10洗身」が「1.介助されていない」","")</f>
        <v/>
      </c>
      <c r="T11" s="95"/>
      <c r="U11" s="95"/>
      <c r="V11" s="95"/>
      <c r="W11" s="95"/>
      <c r="X11" s="95"/>
      <c r="Y11" s="95"/>
      <c r="Z11" s="96"/>
      <c r="AC11" s="117"/>
    </row>
    <row r="12" spans="1:29" ht="14.1" customHeight="1" x14ac:dyDescent="0.15">
      <c r="A12" s="90" t="s">
        <v>326</v>
      </c>
      <c r="B12" s="87" t="str">
        <f>IF(AND(基本情報!D15&lt;&gt;"",基本情報!F15&lt;&gt;"",基本情報!H15&lt;&gt;""),"","必須項目が未入力です！")</f>
        <v>必須項目が未入力です！</v>
      </c>
      <c r="D12" s="37" t="s">
        <v>229</v>
      </c>
      <c r="E12" s="87" t="str">
        <f>IF(第１群!$B$88="","未選択","")</f>
        <v>未選択</v>
      </c>
      <c r="F12" s="88" t="str">
        <f>IF(AND(計算シート!N13=1,計算シート!M13=""),"特記なし","")</f>
        <v/>
      </c>
      <c r="H12" s="38" t="s">
        <v>260</v>
      </c>
      <c r="I12" s="87" t="str">
        <f>IF('第４群 '!$B$88="","未選択","")</f>
        <v>未選択</v>
      </c>
      <c r="J12" s="88" t="str">
        <f>IF(AND(計算シート!N47=1,計算シート!M47=""),"特記なし","")</f>
        <v/>
      </c>
      <c r="K12" s="84"/>
      <c r="R12" s="89">
        <v>10</v>
      </c>
      <c r="S12" s="99" t="str">
        <f>IF(AND(第１群!$B$52=3,第１群!B61=1),"「1-6両足での立位」が「3.できない」にもかかわらず、「1-7歩行」が「1.できる」","")</f>
        <v/>
      </c>
      <c r="T12" s="95"/>
      <c r="U12" s="95"/>
      <c r="V12" s="95"/>
      <c r="W12" s="95"/>
      <c r="X12" s="95"/>
      <c r="Y12" s="95"/>
      <c r="Z12" s="96"/>
      <c r="AC12" s="117"/>
    </row>
    <row r="13" spans="1:29" ht="14.1" customHeight="1" x14ac:dyDescent="0.15">
      <c r="A13" s="86" t="s">
        <v>427</v>
      </c>
      <c r="B13" s="87" t="str">
        <f>IF(基本情報!B16="","調査員番号が未入力です！","")</f>
        <v>調査員番号が未入力です！</v>
      </c>
      <c r="D13" s="37" t="s">
        <v>230</v>
      </c>
      <c r="E13" s="87" t="str">
        <f>IF(第１群!$B$97="","未選択","")</f>
        <v>未選択</v>
      </c>
      <c r="F13" s="88" t="str">
        <f>IF(AND(計算シート!N14=1,計算シート!M14=""),"特記なし","")</f>
        <v/>
      </c>
      <c r="H13" s="38" t="s">
        <v>261</v>
      </c>
      <c r="I13" s="87" t="str">
        <f>IF('第４群 '!$B$97="","未選択","")</f>
        <v>未選択</v>
      </c>
      <c r="J13" s="88" t="str">
        <f>IF(AND(計算シート!N48=1,計算シート!M48=""),"特記なし","")</f>
        <v/>
      </c>
      <c r="K13" s="84"/>
      <c r="R13" s="89">
        <v>11</v>
      </c>
      <c r="S13" s="99" t="str">
        <f>IF(AND(第１群!$B$52=3,第１群!B70=1),"「1-6両足での立位」が「3.できない」にもかかわらず、「1-8立ち上がり」が「1.できる」","")</f>
        <v/>
      </c>
      <c r="T13" s="95"/>
      <c r="U13" s="95"/>
      <c r="V13" s="95"/>
      <c r="W13" s="95"/>
      <c r="X13" s="95"/>
      <c r="Y13" s="95"/>
      <c r="Z13" s="96"/>
      <c r="AC13" s="117"/>
    </row>
    <row r="14" spans="1:29" ht="14.1" customHeight="1" x14ac:dyDescent="0.15">
      <c r="A14" s="90" t="s">
        <v>378</v>
      </c>
      <c r="B14" s="87" t="str">
        <f>IF(基本情報!B17="","必須項目が未入力です！","")</f>
        <v>必須項目が未入力です！</v>
      </c>
      <c r="D14" s="37" t="s">
        <v>231</v>
      </c>
      <c r="E14" s="87" t="str">
        <f>IF(第１群!$B$106="","未選択","")</f>
        <v>未選択</v>
      </c>
      <c r="F14" s="88" t="str">
        <f>IF(AND(計算シート!N15=1,計算シート!M15=""),"特記なし","")</f>
        <v/>
      </c>
      <c r="H14" s="38" t="s">
        <v>262</v>
      </c>
      <c r="I14" s="87" t="str">
        <f>IF('第４群 '!$B$106="","未選択","")</f>
        <v>未選択</v>
      </c>
      <c r="J14" s="88" t="str">
        <f>IF(AND(計算シート!N49=1,計算シート!M49=""),"特記なし","")</f>
        <v/>
      </c>
      <c r="K14" s="84"/>
      <c r="R14" s="89">
        <v>12</v>
      </c>
      <c r="S14" s="99" t="str">
        <f>IF(AND(第１群!$B$52=3,第１群!B79=1),"「1-6両足での立位」が「3.できない」にもかかわらず、「1-9片足での立位」が「1.できる」","")</f>
        <v/>
      </c>
      <c r="T14" s="95"/>
      <c r="U14" s="95"/>
      <c r="V14" s="95"/>
      <c r="W14" s="95"/>
      <c r="X14" s="95"/>
      <c r="Y14" s="95"/>
      <c r="Z14" s="96"/>
      <c r="AC14" s="117"/>
    </row>
    <row r="15" spans="1:29" ht="14.1" customHeight="1" x14ac:dyDescent="0.15">
      <c r="A15" s="90" t="s">
        <v>1</v>
      </c>
      <c r="B15" s="87" t="str">
        <f>IF(基本情報!B19="","必須項目が未入力です！","")</f>
        <v>必須項目が未入力です！</v>
      </c>
      <c r="D15" s="37" t="s">
        <v>232</v>
      </c>
      <c r="E15" s="87" t="str">
        <f>IF(第１群!$B$115="","未選択","")</f>
        <v>未選択</v>
      </c>
      <c r="F15" s="88" t="str">
        <f>IF(AND(計算シート!N16=1,計算シート!M16=""),"特記なし","")</f>
        <v/>
      </c>
      <c r="H15" s="38" t="s">
        <v>263</v>
      </c>
      <c r="I15" s="87" t="str">
        <f>IF('第４群 '!$B$115="","未選択","")</f>
        <v>未選択</v>
      </c>
      <c r="J15" s="88" t="str">
        <f>IF(AND(計算シート!N50=1,計算シート!M50=""),"特記なし","")</f>
        <v/>
      </c>
      <c r="K15" s="84"/>
      <c r="R15" s="89">
        <v>13</v>
      </c>
      <c r="S15" s="99" t="str">
        <f>IF(AND(第１群!B61=1,第２群!B7=4),"「1-7歩行」が「1.できる」にもかかわらず、「2-1移乗」が「4.全介助」","")</f>
        <v/>
      </c>
      <c r="T15" s="95"/>
      <c r="U15" s="95"/>
      <c r="V15" s="95"/>
      <c r="W15" s="95"/>
      <c r="X15" s="95"/>
      <c r="Y15" s="95"/>
      <c r="Z15" s="96"/>
      <c r="AC15" s="117"/>
    </row>
    <row r="16" spans="1:29" ht="14.1" customHeight="1" x14ac:dyDescent="0.15">
      <c r="A16" s="168" t="s">
        <v>311</v>
      </c>
      <c r="B16" s="87" t="str">
        <f>IF(基本情報!L2="","必須項目が未入力です！","")</f>
        <v>必須項目が未入力です！</v>
      </c>
      <c r="D16" s="92" t="s">
        <v>330</v>
      </c>
      <c r="E16" s="134" t="s">
        <v>386</v>
      </c>
      <c r="F16" s="135" t="s">
        <v>387</v>
      </c>
      <c r="H16" s="38" t="s">
        <v>264</v>
      </c>
      <c r="I16" s="87" t="str">
        <f>IF('第４群 '!$B$124="","未選択","")</f>
        <v>未選択</v>
      </c>
      <c r="J16" s="88" t="str">
        <f>IF(AND(計算シート!N51=1,計算シート!M51=""),"特記なし","")</f>
        <v/>
      </c>
      <c r="K16" s="84"/>
      <c r="R16" s="89">
        <v>14</v>
      </c>
      <c r="S16" s="99" t="str">
        <f>IF(AND(第１群!B61=3,第１群!B79=1),"「1-7歩行」が「3.できない」にもかかわらず、「1-9片足での立位」が「1.できる」","")</f>
        <v/>
      </c>
      <c r="T16" s="95"/>
      <c r="U16" s="95"/>
      <c r="V16" s="95"/>
      <c r="W16" s="95"/>
      <c r="X16" s="95"/>
      <c r="Y16" s="95"/>
      <c r="Z16" s="96"/>
      <c r="AC16" s="117"/>
    </row>
    <row r="17" spans="1:29" ht="14.1" customHeight="1" x14ac:dyDescent="0.15">
      <c r="A17" s="224" t="s">
        <v>479</v>
      </c>
      <c r="B17" s="87" t="str">
        <f>IF(基本情報!L3="","家族状況が選択されていません！","")</f>
        <v>家族状況が選択されていません！</v>
      </c>
      <c r="D17" s="37" t="s">
        <v>233</v>
      </c>
      <c r="E17" s="87" t="str">
        <f>IF(第２群!$B$7="","未選択","")</f>
        <v>未選択</v>
      </c>
      <c r="F17" s="88" t="str">
        <f>IF(AND(計算シート!N17=1,計算シート!M17=""),"特記なし","")</f>
        <v/>
      </c>
      <c r="H17" s="38" t="s">
        <v>265</v>
      </c>
      <c r="I17" s="87" t="str">
        <f>IF('第４群 '!$B$133="","未選択","")</f>
        <v>未選択</v>
      </c>
      <c r="J17" s="88" t="str">
        <f>IF(AND(計算シート!N52=1,計算シート!M52=""),"特記なし","")</f>
        <v/>
      </c>
      <c r="K17" s="84"/>
      <c r="R17" s="89">
        <v>15</v>
      </c>
      <c r="S17" s="99" t="str">
        <f>IF(AND(第２群!B7=4,第１群!B79=1),"「2-1移乗」が「4.全介助」にもかかわらず、「1-9片足での立位」が「1.できる」","")</f>
        <v/>
      </c>
      <c r="T17" s="95"/>
      <c r="U17" s="95"/>
      <c r="V17" s="95"/>
      <c r="W17" s="95"/>
      <c r="X17" s="95"/>
      <c r="Y17" s="95"/>
      <c r="Z17" s="96"/>
      <c r="AC17" s="117"/>
    </row>
    <row r="18" spans="1:29" ht="14.1" customHeight="1" x14ac:dyDescent="0.15">
      <c r="A18" s="224" t="s">
        <v>454</v>
      </c>
      <c r="B18" s="87" t="str">
        <f>IF(基本情報!$M$4&lt;&gt;"","選択施設が誤っています！",IF(基本情報!$L$4="","現在状況が選択されていません！",""))</f>
        <v>現在状況が選択されていません！</v>
      </c>
      <c r="D18" s="37" t="s">
        <v>234</v>
      </c>
      <c r="E18" s="87" t="str">
        <f>IF(第２群!$B$16="","未選択","")</f>
        <v>未選択</v>
      </c>
      <c r="F18" s="88" t="str">
        <f>IF(AND(計算シート!N18=1,計算シート!M18=""),"特記なし","")</f>
        <v/>
      </c>
      <c r="H18" s="92" t="s">
        <v>333</v>
      </c>
      <c r="I18" s="134" t="s">
        <v>386</v>
      </c>
      <c r="J18" s="135" t="s">
        <v>387</v>
      </c>
      <c r="K18" s="152"/>
      <c r="R18" s="89">
        <v>16</v>
      </c>
      <c r="S18" s="99" t="str">
        <f>IF(AND(第１群!B70=3,第１群!B79=1),"「1-8立ち上がり」が「3.できない」にもかかわらず、「1-9片足での立位」が「1.できる」","")</f>
        <v/>
      </c>
      <c r="T18" s="95"/>
      <c r="U18" s="95"/>
      <c r="V18" s="95"/>
      <c r="W18" s="95"/>
      <c r="X18" s="95"/>
      <c r="Y18" s="95"/>
      <c r="Z18" s="96"/>
      <c r="AC18" s="117"/>
    </row>
    <row r="19" spans="1:29" ht="14.1" customHeight="1" x14ac:dyDescent="0.15">
      <c r="A19" s="222" t="s">
        <v>328</v>
      </c>
      <c r="B19" s="87" t="str">
        <f>IF(OR(基本情報!$L$7&gt;31,基本情報!$L$8&gt;31,基本情報!$L$9&gt;31,基本情報!$L$13&gt;31,基本情報!$L$14&gt;31,基本情報!$L$15&gt;31,基本情報!$L$16&gt;31,基本情報!$L$20&gt;31,基本情報!$L$23&gt;31,基本情報!$L$25&gt;31),"居宅サービス利用数が誤っています！","")</f>
        <v/>
      </c>
      <c r="D19" s="37" t="s">
        <v>235</v>
      </c>
      <c r="E19" s="87" t="str">
        <f>IF(第２群!$B$25="","未選択","")</f>
        <v>未選択</v>
      </c>
      <c r="F19" s="88" t="str">
        <f>IF(AND(計算シート!N19=1,計算シート!M19=""),"特記なし","")</f>
        <v/>
      </c>
      <c r="H19" s="38" t="s">
        <v>266</v>
      </c>
      <c r="I19" s="87" t="str">
        <f>IF(第５群!$B$7="","未選択","")</f>
        <v>未選択</v>
      </c>
      <c r="J19" s="88" t="str">
        <f>IF(AND(計算シート!N53=1,計算シート!M53=""),"特記なし","")</f>
        <v/>
      </c>
      <c r="K19" s="84"/>
      <c r="R19" s="89">
        <v>17</v>
      </c>
      <c r="S19" s="99" t="str">
        <f>IF(AND(第２群!B25=3,第２群!B34=1),"「2-3えん下」が「3.できない」にもかかわらず、「2-4食事摂取」が「1.介助されていない」","")</f>
        <v/>
      </c>
      <c r="T19" s="95"/>
      <c r="U19" s="95"/>
      <c r="V19" s="95"/>
      <c r="W19" s="95"/>
      <c r="X19" s="95"/>
      <c r="Y19" s="95"/>
      <c r="Z19" s="96"/>
      <c r="AC19" s="117"/>
    </row>
    <row r="20" spans="1:29" ht="14.1" customHeight="1" x14ac:dyDescent="0.15">
      <c r="A20" s="223"/>
      <c r="B20" s="88" t="str">
        <f>IF(OR(基本情報!$L$5&gt;100,基本情報!$L$6&gt;60,基本情報!$L$10&gt;100,基本情報!$L$11&gt;60,基本情報!$L$12&gt;60,基本情報!$L$17&gt;60,基本情報!$L$18&gt;60,基本情報!$L$19&gt;60,基本情報!$L$22&gt;60,基本情報!$L$24&gt;60),"居宅サービス利用数を確認してください","")</f>
        <v/>
      </c>
      <c r="D20" s="37" t="s">
        <v>236</v>
      </c>
      <c r="E20" s="87" t="str">
        <f>IF(第２群!$B$34="","未選択","")</f>
        <v>未選択</v>
      </c>
      <c r="F20" s="88" t="str">
        <f>IF(AND(計算シート!N20=1,計算シート!M20=""),"特記なし","")</f>
        <v/>
      </c>
      <c r="H20" s="38" t="s">
        <v>267</v>
      </c>
      <c r="I20" s="87" t="str">
        <f>IF(第５群!$B$16="","未選択","")</f>
        <v>未選択</v>
      </c>
      <c r="J20" s="88" t="str">
        <f>IF(AND(計算シート!N54=1,計算シート!M54=""),"特記なし","")</f>
        <v/>
      </c>
      <c r="K20" s="84"/>
      <c r="R20" s="89">
        <v>18</v>
      </c>
      <c r="S20" s="99" t="str">
        <f>IF(AND(第２群!B25=3,第５群!B7=1),"「2-3えん下」が「3.できない」にもかかわらず、「5-1薬の内服」が「1.介助されていない」","")</f>
        <v/>
      </c>
      <c r="T20" s="95"/>
      <c r="U20" s="95"/>
      <c r="V20" s="95"/>
      <c r="W20" s="95"/>
      <c r="X20" s="95"/>
      <c r="Y20" s="95"/>
      <c r="Z20" s="96"/>
      <c r="AC20" s="117"/>
    </row>
    <row r="21" spans="1:29" ht="14.1" customHeight="1" x14ac:dyDescent="0.15">
      <c r="A21" s="90" t="s">
        <v>327</v>
      </c>
      <c r="B21" s="87" t="str">
        <f>IF(基本情報!$W$3="","概況特記が未入力です！","")</f>
        <v>概況特記が未入力です！</v>
      </c>
      <c r="D21" s="37" t="s">
        <v>237</v>
      </c>
      <c r="E21" s="87" t="str">
        <f>IF(第２群!$B$43="","未選択","")</f>
        <v>未選択</v>
      </c>
      <c r="F21" s="88" t="str">
        <f>IF(AND(計算シート!N21=1,計算シート!M21=""),"特記なし","")</f>
        <v/>
      </c>
      <c r="H21" s="38" t="s">
        <v>268</v>
      </c>
      <c r="I21" s="87" t="str">
        <f>IF(第５群!$B$25="","未選択","")</f>
        <v>未選択</v>
      </c>
      <c r="J21" s="88" t="str">
        <f>IF(AND(計算シート!N55=1,計算シート!M55=""),"特記なし","")</f>
        <v/>
      </c>
      <c r="K21" s="84"/>
      <c r="R21" s="89">
        <v>19</v>
      </c>
      <c r="S21" s="99" t="str">
        <f>IF(AND(第１群!B97=1,'第４群 '!B97=3),"「1-11つめ切り」が「1.介助されていない」にもかかわらず、「4-11物や衣服を壊す」が「3.ある」","")</f>
        <v/>
      </c>
      <c r="T21" s="95"/>
      <c r="U21" s="95"/>
      <c r="V21" s="95"/>
      <c r="W21" s="95"/>
      <c r="X21" s="95"/>
      <c r="Y21" s="95"/>
      <c r="Z21" s="96"/>
      <c r="AC21" s="117"/>
    </row>
    <row r="22" spans="1:29" ht="14.1" customHeight="1" x14ac:dyDescent="0.15">
      <c r="A22" s="169"/>
      <c r="B22" s="170"/>
      <c r="D22" s="37" t="s">
        <v>238</v>
      </c>
      <c r="E22" s="87" t="str">
        <f>IF(第２群!$B$52="","未選択","")</f>
        <v>未選択</v>
      </c>
      <c r="F22" s="88" t="str">
        <f>IF(AND(計算シート!N22=1,計算シート!M22=""),"特記なし","")</f>
        <v/>
      </c>
      <c r="H22" s="38" t="s">
        <v>269</v>
      </c>
      <c r="I22" s="87" t="str">
        <f>IF(第５群!$B$34="","未選択","")</f>
        <v>未選択</v>
      </c>
      <c r="J22" s="88" t="str">
        <f>IF(AND(計算シート!N56=1,計算シート!M56=""),"特記なし","")</f>
        <v/>
      </c>
      <c r="K22" s="84"/>
      <c r="R22" s="89">
        <v>20</v>
      </c>
      <c r="S22" s="99" t="str">
        <f>IF(AND(第５群!B7=1,'第４群 '!B97=3),"「5-1薬の内服」が「1.介助されていない」にもかかわらず、「4-11物や衣服を壊す」が「3.ある」","")</f>
        <v/>
      </c>
      <c r="T22" s="95"/>
      <c r="U22" s="95"/>
      <c r="V22" s="95"/>
      <c r="W22" s="95"/>
      <c r="X22" s="95"/>
      <c r="Y22" s="95"/>
      <c r="Z22" s="96"/>
      <c r="AC22" s="117"/>
    </row>
    <row r="23" spans="1:29" ht="14.1" customHeight="1" x14ac:dyDescent="0.15">
      <c r="A23" s="121" t="s">
        <v>360</v>
      </c>
      <c r="B23" s="127">
        <f>COUNTIF(B3:B19,"=?*")+COUNTIF(B21,"=?*")</f>
        <v>17</v>
      </c>
      <c r="D23" s="37" t="s">
        <v>239</v>
      </c>
      <c r="E23" s="87" t="str">
        <f>IF(第２群!$B$61="","未選択","")</f>
        <v>未選択</v>
      </c>
      <c r="F23" s="88" t="str">
        <f>IF(AND(計算シート!N23=1,計算シート!M23=""),"特記なし","")</f>
        <v/>
      </c>
      <c r="H23" s="38" t="s">
        <v>270</v>
      </c>
      <c r="I23" s="87" t="str">
        <f>IF(第５群!$B$43="","未選択","")</f>
        <v>未選択</v>
      </c>
      <c r="J23" s="88" t="str">
        <f>IF(AND(計算シート!N57=1,計算シート!M57=""),"特記なし","")</f>
        <v/>
      </c>
      <c r="K23" s="84"/>
      <c r="R23" s="89">
        <v>21</v>
      </c>
      <c r="S23" s="99" t="str">
        <f>IF(AND(第５群!$B$16=1,第３群!B70=3),"「5-2金銭の管理」が「1.介助されていない」にもかかわらず、「3-8徘徊」が「3.ある」","")</f>
        <v/>
      </c>
      <c r="T23" s="95"/>
      <c r="U23" s="95"/>
      <c r="V23" s="95"/>
      <c r="W23" s="95"/>
      <c r="X23" s="95"/>
      <c r="Y23" s="95"/>
      <c r="Z23" s="96"/>
      <c r="AC23" s="117"/>
    </row>
    <row r="24" spans="1:29" ht="14.1" customHeight="1" x14ac:dyDescent="0.15">
      <c r="A24" s="121" t="s">
        <v>361</v>
      </c>
      <c r="B24" s="127">
        <f>COUNTIF(B20,"=?*")</f>
        <v>0</v>
      </c>
      <c r="D24" s="37" t="s">
        <v>240</v>
      </c>
      <c r="E24" s="87" t="str">
        <f>IF(第２群!$B$70="","未選択","")</f>
        <v>未選択</v>
      </c>
      <c r="F24" s="88" t="str">
        <f>IF(AND(計算シート!N24=1,計算シート!M24=""),"特記なし","")</f>
        <v/>
      </c>
      <c r="H24" s="38" t="s">
        <v>271</v>
      </c>
      <c r="I24" s="153" t="str">
        <f>IF(第５群!$B$52="","未選択","")</f>
        <v>未選択</v>
      </c>
      <c r="J24" s="154" t="str">
        <f>IF(AND(計算シート!N58=1,計算シート!M58=""),"特記なし","")</f>
        <v/>
      </c>
      <c r="K24" s="84"/>
      <c r="R24" s="89">
        <v>22</v>
      </c>
      <c r="S24" s="99" t="str">
        <f>IF(AND(第５群!$B$16=1,'第４群 '!B79=3),"「5-2金銭の管理」が「1.介助されていない」にもかかわらず、「4-9一人で出たがる」が「3.ある」","")</f>
        <v/>
      </c>
      <c r="T24" s="95"/>
      <c r="U24" s="95"/>
      <c r="V24" s="95"/>
      <c r="W24" s="95"/>
      <c r="X24" s="95"/>
      <c r="Y24" s="95"/>
      <c r="Z24" s="96"/>
      <c r="AC24" s="117"/>
    </row>
    <row r="25" spans="1:29" ht="14.1" customHeight="1" x14ac:dyDescent="0.15">
      <c r="A25"/>
      <c r="B25"/>
      <c r="D25" s="37" t="s">
        <v>241</v>
      </c>
      <c r="E25" s="87" t="str">
        <f>IF(第２群!$B$79="","未選択","")</f>
        <v>未選択</v>
      </c>
      <c r="F25" s="88" t="str">
        <f>IF(AND(計算シート!N25=1,計算シート!M25=""),"特記なし","")</f>
        <v/>
      </c>
      <c r="H25" s="93" t="s">
        <v>334</v>
      </c>
      <c r="I25" s="318" t="s">
        <v>387</v>
      </c>
      <c r="J25" s="318"/>
      <c r="K25" s="318"/>
      <c r="L25" s="155"/>
      <c r="R25" s="89">
        <v>23</v>
      </c>
      <c r="S25" s="99" t="str">
        <f>IF(AND(第５群!$B$16=1,'第４群 '!B88=3),"「5-2金銭の管理」が「1.介助されていない」にもかかわらず、「4-10収集癖」が「3.ある」","")</f>
        <v/>
      </c>
      <c r="T25" s="95"/>
      <c r="U25" s="95"/>
      <c r="V25" s="95"/>
      <c r="W25" s="95"/>
      <c r="X25" s="95"/>
      <c r="Y25" s="95"/>
      <c r="Z25" s="96"/>
      <c r="AC25" s="117"/>
    </row>
    <row r="26" spans="1:29" ht="14.1" customHeight="1" x14ac:dyDescent="0.15">
      <c r="A26"/>
      <c r="B26"/>
      <c r="D26" s="37" t="s">
        <v>242</v>
      </c>
      <c r="E26" s="87" t="str">
        <f>IF(第２群!$B$88="","未選択","")</f>
        <v>未選択</v>
      </c>
      <c r="F26" s="88" t="str">
        <f>IF(AND(計算シート!N26=1,計算シート!M26=""),"特記なし","")</f>
        <v/>
      </c>
      <c r="H26" s="156" t="s">
        <v>272</v>
      </c>
      <c r="I26" s="94" t="str">
        <f>IF(AND(計算シート!N59="レ",計算シート!M59=""),"特記事項を記入してください！！","")</f>
        <v/>
      </c>
      <c r="J26" s="95"/>
      <c r="K26" s="96"/>
      <c r="L26" s="84"/>
      <c r="R26" s="89">
        <v>24</v>
      </c>
      <c r="S26" s="99" t="str">
        <f>IF(AND(第５群!$B$16=1,'第４群 '!B97=3),"「5-2金銭の管理」が「1.介助されていない」にもかかわらず、「4-11物や衣服を壊す」が「3.ある」","")</f>
        <v/>
      </c>
      <c r="T26" s="95"/>
      <c r="U26" s="95"/>
      <c r="V26" s="95"/>
      <c r="W26" s="95"/>
      <c r="X26" s="95"/>
      <c r="Y26" s="95"/>
      <c r="Z26" s="96"/>
      <c r="AC26" s="117"/>
    </row>
    <row r="27" spans="1:29" ht="14.1" customHeight="1" x14ac:dyDescent="0.15">
      <c r="A27"/>
      <c r="B27"/>
      <c r="D27" s="37" t="s">
        <v>243</v>
      </c>
      <c r="E27" s="87" t="str">
        <f>IF(第２群!$B$97="","未選択","")</f>
        <v>未選択</v>
      </c>
      <c r="F27" s="88" t="str">
        <f>IF(AND(計算シート!N27=1,計算シート!M27=""),"特記なし","")</f>
        <v/>
      </c>
      <c r="H27" s="156" t="s">
        <v>273</v>
      </c>
      <c r="I27" s="94" t="str">
        <f>IF(AND(計算シート!N60="レ",計算シート!M60=""),"特記事項を記入してください！！","")</f>
        <v/>
      </c>
      <c r="J27" s="95"/>
      <c r="K27" s="96"/>
      <c r="L27" s="84"/>
      <c r="R27" s="89">
        <v>25</v>
      </c>
      <c r="S27" s="99" t="str">
        <f>IF(AND(第１群!B106=5,第３群!B7=1),"「1-12視力」が「5.判断不能」にもかかわらず、「3-1意思の伝達」が「1.できる」","")</f>
        <v/>
      </c>
      <c r="T27" s="95"/>
      <c r="U27" s="95"/>
      <c r="V27" s="95"/>
      <c r="W27" s="95"/>
      <c r="X27" s="95"/>
      <c r="Y27" s="95"/>
      <c r="Z27" s="96"/>
      <c r="AC27" s="117"/>
    </row>
    <row r="28" spans="1:29" ht="14.1" customHeight="1" x14ac:dyDescent="0.15">
      <c r="A28"/>
      <c r="B28"/>
      <c r="D28" s="37" t="s">
        <v>244</v>
      </c>
      <c r="E28" s="87" t="str">
        <f>IF(第２群!$B$106="","未選択","")</f>
        <v>未選択</v>
      </c>
      <c r="F28" s="88" t="str">
        <f>IF(AND(計算シート!N28=1,計算シート!M28=""),"特記なし","")</f>
        <v/>
      </c>
      <c r="H28" s="156" t="s">
        <v>274</v>
      </c>
      <c r="I28" s="94" t="str">
        <f>IF(AND(計算シート!N61="レ",計算シート!M61=""),"特記事項を記入してください！！","")</f>
        <v/>
      </c>
      <c r="J28" s="95"/>
      <c r="K28" s="96"/>
      <c r="L28" s="84"/>
      <c r="R28" s="89">
        <v>26</v>
      </c>
      <c r="S28" s="99" t="str">
        <f>IF(AND(第１群!B115=5,第３群!B7=1),"「1-13聴力」が「5.判断不能」にもかかわらず、「3-1意思の伝達」が「1.できる」","")</f>
        <v/>
      </c>
      <c r="T28" s="95"/>
      <c r="U28" s="95"/>
      <c r="V28" s="95"/>
      <c r="W28" s="95"/>
      <c r="X28" s="95"/>
      <c r="Y28" s="95"/>
      <c r="Z28" s="96"/>
      <c r="AC28" s="117"/>
    </row>
    <row r="29" spans="1:29" ht="14.1" customHeight="1" x14ac:dyDescent="0.15">
      <c r="D29" s="92" t="s">
        <v>331</v>
      </c>
      <c r="E29" s="134" t="s">
        <v>386</v>
      </c>
      <c r="F29" s="135" t="s">
        <v>387</v>
      </c>
      <c r="H29" s="156" t="s">
        <v>275</v>
      </c>
      <c r="I29" s="94" t="str">
        <f>IF(AND(計算シート!N62="レ",計算シート!M62=""),"特記事項を記入してください！！","")</f>
        <v/>
      </c>
      <c r="J29" s="95"/>
      <c r="K29" s="96"/>
      <c r="L29" s="84"/>
      <c r="R29" s="89">
        <v>27</v>
      </c>
      <c r="S29" s="99" t="str">
        <f>IF(AND(第１群!B106=5,AND(第３群!B52=1,第３群!B25=1,第３群!B16=1,第３群!B34=1,第３群!B61=1,第３群!B43=1)),"「1-12視力」が「5.判断不能」にもかかわらず、「3-2」「3-3」「3-4」「3-5」「3-6」「3-7」の6項目がいずれも「1.できる」","")</f>
        <v/>
      </c>
      <c r="T29" s="95"/>
      <c r="U29" s="95"/>
      <c r="V29" s="95"/>
      <c r="W29" s="95"/>
      <c r="X29" s="95"/>
      <c r="Y29" s="95"/>
      <c r="Z29" s="96"/>
      <c r="AC29" s="117"/>
    </row>
    <row r="30" spans="1:29" ht="14.1" customHeight="1" x14ac:dyDescent="0.15">
      <c r="D30" s="38" t="s">
        <v>245</v>
      </c>
      <c r="E30" s="87" t="str">
        <f>IF(第３群!$B$7="","未選択","")</f>
        <v>未選択</v>
      </c>
      <c r="F30" s="88" t="str">
        <f>IF(AND(計算シート!N29=1,計算シート!M29=""),"特記なし","")</f>
        <v/>
      </c>
      <c r="H30" s="156" t="s">
        <v>276</v>
      </c>
      <c r="I30" s="94" t="str">
        <f>IF(AND(計算シート!N63="レ",計算シート!M63=""),"特記事項を記入してください！！","")</f>
        <v/>
      </c>
      <c r="J30" s="95"/>
      <c r="K30" s="96"/>
      <c r="L30" s="84"/>
      <c r="R30" s="89">
        <v>28</v>
      </c>
      <c r="S30" s="99" t="str">
        <f>IF(AND(第１群!B115=5,AND(第３群!B52=1,第３群!B25=1,第３群!B16=1,第３群!B34=1,第３群!B61=1,第３群!B43=1)),"「1-13聴力」が「5.判断不能」にもかかわらず、「3-2」「3-3」「3-4」「3-5」「3-6」「3-7」の6項目がいずれも「1.できる」","")</f>
        <v/>
      </c>
      <c r="T30" s="95"/>
      <c r="U30" s="95"/>
      <c r="V30" s="95"/>
      <c r="W30" s="95"/>
      <c r="X30" s="95"/>
      <c r="Y30" s="95"/>
      <c r="Z30" s="96"/>
      <c r="AC30" s="117"/>
    </row>
    <row r="31" spans="1:29" ht="14.1" customHeight="1" x14ac:dyDescent="0.15">
      <c r="D31" s="38" t="s">
        <v>246</v>
      </c>
      <c r="E31" s="87" t="str">
        <f>IF(第３群!$B$16="","未選択","")</f>
        <v>未選択</v>
      </c>
      <c r="F31" s="88" t="str">
        <f>IF(AND(計算シート!N30=1,計算シート!M30=""),"特記なし","")</f>
        <v/>
      </c>
      <c r="H31" s="156" t="s">
        <v>277</v>
      </c>
      <c r="I31" s="94" t="str">
        <f>IF(AND(計算シート!N64="レ",計算シート!M64=""),"特記事項を記入してください！！","")</f>
        <v/>
      </c>
      <c r="J31" s="95"/>
      <c r="K31" s="96"/>
      <c r="L31" s="84"/>
      <c r="R31" s="89">
        <v>29</v>
      </c>
      <c r="S31" s="99" t="str">
        <f>IF(AND(第１群!B115=5,第５群!B25=1),"「1-13聴力」が「5.判断不能」にもかかわらず、「5-3日常の意思決定」が「1.できる」","")</f>
        <v/>
      </c>
      <c r="T31" s="95"/>
      <c r="U31" s="95"/>
      <c r="V31" s="95"/>
      <c r="W31" s="95"/>
      <c r="X31" s="95"/>
      <c r="Y31" s="95"/>
      <c r="Z31" s="96"/>
      <c r="AC31" s="117"/>
    </row>
    <row r="32" spans="1:29" ht="14.1" customHeight="1" x14ac:dyDescent="0.15">
      <c r="D32" s="171" t="s">
        <v>383</v>
      </c>
      <c r="E32" s="87" t="str">
        <f>IF(第３群!$B$25="","未選択","")</f>
        <v>未選択</v>
      </c>
      <c r="F32" s="88" t="str">
        <f>IF(AND(計算シート!N31=1,計算シート!M31=""),"特記なし","")</f>
        <v/>
      </c>
      <c r="H32" s="156" t="s">
        <v>278</v>
      </c>
      <c r="I32" s="94" t="str">
        <f>IF(AND(計算シート!N65="レ",計算シート!M65=""),"特記事項を記入してください！！","")</f>
        <v/>
      </c>
      <c r="J32" s="95"/>
      <c r="K32" s="96"/>
      <c r="L32" s="84"/>
      <c r="R32" s="89">
        <v>30</v>
      </c>
      <c r="S32" s="99" t="str">
        <f>IF(AND(第１群!B106=5,第５群!B25=1),"「1-12視力」が「5.判断不能」にもかかわらず、「5-3日常の意思決定」が「1.できる」","")</f>
        <v/>
      </c>
      <c r="T32" s="95"/>
      <c r="U32" s="95"/>
      <c r="V32" s="95"/>
      <c r="W32" s="95"/>
      <c r="X32" s="95"/>
      <c r="Y32" s="95"/>
      <c r="Z32" s="96"/>
      <c r="AC32" s="117"/>
    </row>
    <row r="33" spans="4:29" ht="14.1" customHeight="1" x14ac:dyDescent="0.15">
      <c r="D33" s="38" t="s">
        <v>247</v>
      </c>
      <c r="E33" s="87" t="str">
        <f>IF(第３群!$B$34="","未選択","")</f>
        <v>未選択</v>
      </c>
      <c r="F33" s="88" t="str">
        <f>IF(AND(計算シート!N32=1,計算シート!M32=""),"特記なし","")</f>
        <v/>
      </c>
      <c r="H33" s="156" t="s">
        <v>279</v>
      </c>
      <c r="I33" s="94" t="str">
        <f>IF(AND(計算シート!N66="レ",計算シート!M66=""),"特記事項を記入してください！！","")</f>
        <v/>
      </c>
      <c r="J33" s="95"/>
      <c r="K33" s="96"/>
      <c r="L33" s="84"/>
      <c r="R33" s="89">
        <v>31</v>
      </c>
      <c r="S33" s="99" t="str">
        <f>IF(AND(第１群!B115=5,第２群!B52=1),"「1-13聴力」が「5.判断不能」にもかかわらず、「2-6排便」が「1.介助されていない」","")</f>
        <v/>
      </c>
      <c r="T33" s="95"/>
      <c r="U33" s="95"/>
      <c r="V33" s="95"/>
      <c r="W33" s="95"/>
      <c r="X33" s="95"/>
      <c r="Y33" s="95"/>
      <c r="Z33" s="96"/>
      <c r="AC33" s="117"/>
    </row>
    <row r="34" spans="4:29" ht="14.1" customHeight="1" x14ac:dyDescent="0.15">
      <c r="D34" s="38" t="s">
        <v>248</v>
      </c>
      <c r="E34" s="87" t="str">
        <f>IF(第３群!$B$43="","未選択","")</f>
        <v>未選択</v>
      </c>
      <c r="F34" s="88" t="str">
        <f>IF(AND(計算シート!N33=1,計算シート!M33=""),"特記なし","")</f>
        <v/>
      </c>
      <c r="H34" s="156" t="s">
        <v>280</v>
      </c>
      <c r="I34" s="94" t="str">
        <f>IF(AND(計算シート!N67="レ",計算シート!M67=""),"特記事項を記入してください！！","")</f>
        <v/>
      </c>
      <c r="J34" s="95"/>
      <c r="K34" s="96"/>
      <c r="L34" s="84"/>
      <c r="R34" s="89">
        <v>32</v>
      </c>
      <c r="S34" s="99" t="str">
        <f>IF(AND(第３群!B7=4,第５群!B25=1),"「3-1意思の伝達」が「4.できない」にもかかわらず、「5-3日常の意思決定」が「1.できる」","")</f>
        <v/>
      </c>
      <c r="T34" s="95"/>
      <c r="U34" s="95"/>
      <c r="V34" s="95"/>
      <c r="W34" s="95"/>
      <c r="X34" s="95"/>
      <c r="Y34" s="95"/>
      <c r="Z34" s="96"/>
      <c r="AC34" s="117"/>
    </row>
    <row r="35" spans="4:29" ht="14.1" customHeight="1" x14ac:dyDescent="0.15">
      <c r="D35" s="38" t="s">
        <v>384</v>
      </c>
      <c r="E35" s="87" t="str">
        <f>IF(第３群!$B$52="","未選択","")</f>
        <v>未選択</v>
      </c>
      <c r="F35" s="88" t="str">
        <f>IF(AND(計算シート!N34=1,計算シート!M34=""),"特記なし","")</f>
        <v/>
      </c>
      <c r="H35" s="156" t="s">
        <v>281</v>
      </c>
      <c r="I35" s="94" t="str">
        <f>IF(AND(計算シート!N68="レ",計算シート!M68=""),"特記事項を記入してください！！","")</f>
        <v/>
      </c>
      <c r="J35" s="95"/>
      <c r="K35" s="96"/>
      <c r="L35" s="84"/>
      <c r="R35" s="89">
        <v>33</v>
      </c>
      <c r="S35" s="99" t="str">
        <f>IF(AND(第１群!B115=5,第２群!B43=1),"「1-13聴力」が「5.判断不能」にもかかわらず、「2-5排尿」が「1.介助されていない」","")</f>
        <v/>
      </c>
      <c r="T35" s="95"/>
      <c r="U35" s="95"/>
      <c r="V35" s="95"/>
      <c r="W35" s="95"/>
      <c r="X35" s="95"/>
      <c r="Y35" s="95"/>
      <c r="Z35" s="96"/>
      <c r="AC35" s="117"/>
    </row>
    <row r="36" spans="4:29" ht="14.1" customHeight="1" x14ac:dyDescent="0.15">
      <c r="D36" s="38" t="s">
        <v>249</v>
      </c>
      <c r="E36" s="87" t="str">
        <f>IF(第３群!$B$61="","未選択","")</f>
        <v>未選択</v>
      </c>
      <c r="F36" s="88" t="str">
        <f>IF(AND(計算シート!N35=1,計算シート!M35=""),"特記なし","")</f>
        <v/>
      </c>
      <c r="H36" s="156" t="s">
        <v>282</v>
      </c>
      <c r="I36" s="94" t="str">
        <f>IF(AND(計算シート!N69="レ",計算シート!M69=""),"特記事項を記入してください！！","")</f>
        <v/>
      </c>
      <c r="J36" s="95"/>
      <c r="K36" s="96"/>
      <c r="L36" s="84"/>
      <c r="R36" s="89">
        <v>34</v>
      </c>
      <c r="S36" s="99" t="str">
        <f>IF(AND(第１群!B115=5,第２群!B16=1),"「1-13聴力」が「5.判断不能」にもかかわらず、「2-2移動」が「1.介助されていない」","")</f>
        <v/>
      </c>
      <c r="T36" s="95"/>
      <c r="U36" s="95"/>
      <c r="V36" s="95"/>
      <c r="W36" s="95"/>
      <c r="X36" s="95"/>
      <c r="Y36" s="95"/>
      <c r="Z36" s="96"/>
      <c r="AC36" s="117"/>
    </row>
    <row r="37" spans="4:29" ht="14.1" customHeight="1" x14ac:dyDescent="0.15">
      <c r="D37" s="38" t="s">
        <v>250</v>
      </c>
      <c r="E37" s="87" t="str">
        <f>IF(第３群!$B$70="","未選択","")</f>
        <v>未選択</v>
      </c>
      <c r="F37" s="88" t="str">
        <f>IF(AND(計算シート!N36=1,計算シート!M36=""),"特記なし","")</f>
        <v/>
      </c>
      <c r="H37" s="156" t="s">
        <v>283</v>
      </c>
      <c r="I37" s="94" t="str">
        <f>IF(AND(計算シート!N70="レ",計算シート!M70=""),"特記事項を記入してください！！","")</f>
        <v/>
      </c>
      <c r="J37" s="95"/>
      <c r="K37" s="96"/>
      <c r="L37" s="84"/>
      <c r="R37" s="89">
        <v>35</v>
      </c>
      <c r="S37" s="99" t="str">
        <f>IF(AND('第４群 '!B97=3,第５群!B25=1),"「4-11物や衣類を壊す」が「3.ある」にもかかわらず、「5-3日常の意思決定」が「1.できる」","")</f>
        <v/>
      </c>
      <c r="T37" s="95"/>
      <c r="U37" s="95"/>
      <c r="V37" s="95"/>
      <c r="W37" s="95"/>
      <c r="X37" s="95"/>
      <c r="Y37" s="95"/>
      <c r="Z37" s="96"/>
      <c r="AC37" s="117"/>
    </row>
    <row r="38" spans="4:29" ht="14.1" customHeight="1" x14ac:dyDescent="0.15">
      <c r="D38" s="38" t="s">
        <v>385</v>
      </c>
      <c r="E38" s="87" t="str">
        <f>IF(第３群!$B$79="","未選択","")</f>
        <v>未選択</v>
      </c>
      <c r="F38" s="88" t="str">
        <f>IF(AND(計算シート!N37=1,計算シート!M37=""),"特記なし","")</f>
        <v/>
      </c>
      <c r="H38" s="85" t="s">
        <v>335</v>
      </c>
      <c r="I38" s="157" t="s">
        <v>386</v>
      </c>
      <c r="J38" s="319" t="s">
        <v>387</v>
      </c>
      <c r="K38" s="319"/>
      <c r="L38" s="320"/>
      <c r="M38" s="321" t="s">
        <v>390</v>
      </c>
      <c r="N38" s="321"/>
      <c r="O38" s="321"/>
      <c r="P38" s="155"/>
      <c r="R38" s="89">
        <v>36</v>
      </c>
      <c r="S38" s="99" t="str">
        <f>IF(AND(第３群!B43=2,第５群!B25=1),"「3-5自分の名前を言う」が「2.できない」にもかかわらず、「5-3日常の意思決定」が「1.できる」","")</f>
        <v/>
      </c>
      <c r="T38" s="95"/>
      <c r="U38" s="95"/>
      <c r="V38" s="95"/>
      <c r="W38" s="95"/>
      <c r="X38" s="95"/>
      <c r="Y38" s="95"/>
      <c r="Z38" s="96"/>
      <c r="AC38" s="117"/>
    </row>
    <row r="39" spans="4:29" ht="14.1" customHeight="1" x14ac:dyDescent="0.15">
      <c r="H39" s="97" t="s">
        <v>336</v>
      </c>
      <c r="I39" s="98" t="str">
        <f>IF('第６，７群 '!$L$7="","未選択","")</f>
        <v>未選択</v>
      </c>
      <c r="J39" s="94" t="str">
        <f>IF(計算シート!M71="","特記事項を記入してください！！","")</f>
        <v>特記事項を記入してください！！</v>
      </c>
      <c r="K39" s="95"/>
      <c r="L39" s="96"/>
      <c r="M39" s="99" t="str">
        <f>IF('第６，７群 '!S11="","","選択と特記内容を確認してください")</f>
        <v/>
      </c>
      <c r="N39" s="95"/>
      <c r="O39" s="96"/>
      <c r="P39" s="84"/>
      <c r="R39" s="89">
        <v>37</v>
      </c>
      <c r="S39" s="99" t="str">
        <f>IF(AND(第１群!B106=5,第２群!B52=1),"「1-12視力」が「5.判断不能」にもかかわらず、「2-6排便」が「1.介助されていない」","")</f>
        <v/>
      </c>
      <c r="T39" s="95"/>
      <c r="U39" s="95"/>
      <c r="V39" s="95"/>
      <c r="W39" s="95"/>
      <c r="X39" s="95"/>
      <c r="Y39" s="95"/>
      <c r="Z39" s="96"/>
      <c r="AC39" s="117"/>
    </row>
    <row r="40" spans="4:29" ht="14.1" customHeight="1" x14ac:dyDescent="0.15">
      <c r="D40" s="121"/>
      <c r="E40" s="121"/>
      <c r="H40" s="97" t="s">
        <v>420</v>
      </c>
      <c r="I40" s="98" t="str">
        <f>IF('第６，７群 '!$L$16="","未選択","")</f>
        <v>未選択</v>
      </c>
      <c r="J40" s="94" t="str">
        <f>IF(計算シート!M73="","特記事項を記入してください！！","")</f>
        <v>特記事項を記入してください！！</v>
      </c>
      <c r="K40" s="95"/>
      <c r="L40" s="96"/>
      <c r="M40" s="99" t="str">
        <f>IF('第６，７群 '!S20="","","選択と特記内容を確認してください")</f>
        <v/>
      </c>
      <c r="N40" s="95"/>
      <c r="O40" s="96"/>
      <c r="P40" s="84"/>
      <c r="R40" s="89">
        <v>38</v>
      </c>
      <c r="S40" s="99" t="str">
        <f>IF(AND(第１群!B106=5,第２群!B43=1),"「1-12視力」が「5.判断不能」にもかかわらず、「2-5排尿」が「1.介助されていない」","")</f>
        <v/>
      </c>
      <c r="T40" s="95"/>
      <c r="U40" s="95"/>
      <c r="V40" s="95"/>
      <c r="W40" s="95"/>
      <c r="X40" s="95"/>
      <c r="Y40" s="95"/>
      <c r="Z40" s="96"/>
      <c r="AC40" s="117"/>
    </row>
    <row r="41" spans="4:29" ht="14.1" customHeight="1" x14ac:dyDescent="0.15">
      <c r="D41" s="121" t="s">
        <v>360</v>
      </c>
      <c r="E41" s="127">
        <f>COUNTIF(E3:E15,"=?*")+COUNTIF(E17:E28,"=?*")+COUNTIF(E30:E38,"=?*")</f>
        <v>32</v>
      </c>
      <c r="R41" s="89">
        <v>39</v>
      </c>
      <c r="S41" s="99" t="str">
        <f>IF(AND(第１群!B106=5,第２群!B16=1),"「1-12視力」が「5.判断不能」にもかかわらず、「2-2移動」が「1.介助されていない」","")</f>
        <v/>
      </c>
      <c r="T41" s="95"/>
      <c r="U41" s="95"/>
      <c r="V41" s="95"/>
      <c r="W41" s="95"/>
      <c r="X41" s="95"/>
      <c r="Y41" s="95"/>
      <c r="Z41" s="96"/>
      <c r="AC41" s="117"/>
    </row>
    <row r="42" spans="4:29" ht="14.1" customHeight="1" x14ac:dyDescent="0.15">
      <c r="D42" s="121" t="s">
        <v>361</v>
      </c>
      <c r="E42" s="127">
        <f>COUNTIF(F3:F15,"=?*")+COUNTIF(F17:F28,"=?*")+COUNTIF(F30:F38,"=?*")</f>
        <v>0</v>
      </c>
      <c r="H42" s="121"/>
      <c r="I42" s="121"/>
      <c r="R42" s="89">
        <v>40</v>
      </c>
      <c r="S42" s="99" t="str">
        <f>IF(AND(第１群!B43=4,第５群!B43=1),"「1-5座位保持」が「4.できない」にもかかわらず、「5-5買い物」が「1.介助されていない」","")</f>
        <v/>
      </c>
      <c r="T42" s="95"/>
      <c r="U42" s="95"/>
      <c r="V42" s="95"/>
      <c r="W42" s="95"/>
      <c r="X42" s="95"/>
      <c r="Y42" s="95"/>
      <c r="Z42" s="96"/>
      <c r="AC42" s="117"/>
    </row>
    <row r="43" spans="4:29" ht="14.1" customHeight="1" x14ac:dyDescent="0.15">
      <c r="D43" s="120"/>
      <c r="E43" s="120"/>
      <c r="H43" s="121" t="s">
        <v>360</v>
      </c>
      <c r="I43" s="127">
        <f>COUNTIF(I3:I17,"=?*")+COUNTIF(I19:I24,"=?*")+COUNTIF(I26:I37,"=?*")+COUNTIF(I39:I40,"=?*")+COUNTIF(J39:J40,"=?*")+COUNTIF(N3,"=?*")</f>
        <v>25</v>
      </c>
      <c r="R43" s="89">
        <v>41</v>
      </c>
      <c r="S43" s="99" t="str">
        <f>IF(AND(第２群!B70=3,第５群!B52=1),"「2-8洗顔」が「3.全介助」にもかかわらず、「5-6簡単な調理」が「1.介助されていない」","")</f>
        <v/>
      </c>
      <c r="T43" s="95"/>
      <c r="U43" s="95"/>
      <c r="V43" s="95"/>
      <c r="W43" s="95"/>
      <c r="X43" s="95"/>
      <c r="Y43" s="95"/>
      <c r="Z43" s="96"/>
      <c r="AC43" s="117"/>
    </row>
    <row r="44" spans="4:29" ht="14.1" customHeight="1" x14ac:dyDescent="0.15">
      <c r="H44" s="121" t="s">
        <v>361</v>
      </c>
      <c r="I44" s="127">
        <f>COUNTIF(J3:J17,"=?*")+COUNTIF(J19:J24,"=?*")+COUNTIF(M39:M40,"=?*")</f>
        <v>0</v>
      </c>
      <c r="R44" s="89">
        <v>42</v>
      </c>
      <c r="S44" s="99" t="str">
        <f>IF(AND(第２群!B79=3,第５群!B52=1),"「2-9整髪」が「3.全介助」にもかかわらず、「5-6簡単な調理」が「1.介助されていない」","")</f>
        <v/>
      </c>
      <c r="T44" s="95"/>
      <c r="U44" s="95"/>
      <c r="V44" s="95"/>
      <c r="W44" s="95"/>
      <c r="X44" s="95"/>
      <c r="Y44" s="95"/>
      <c r="Z44" s="96"/>
      <c r="AC44" s="117"/>
    </row>
    <row r="45" spans="4:29" ht="14.1" customHeight="1" x14ac:dyDescent="0.15">
      <c r="H45" s="120"/>
      <c r="I45" s="120"/>
      <c r="R45" s="89">
        <v>43</v>
      </c>
      <c r="S45" s="99" t="str">
        <f>IF(AND(第５群!B16=3,第５群!B43=1),"「5-2金銭の管理」が「3.全介助」にもかかわらず、「5-5買い物」が「1.介助されていない」","")</f>
        <v/>
      </c>
      <c r="T45" s="95"/>
      <c r="U45" s="95"/>
      <c r="V45" s="95"/>
      <c r="W45" s="95"/>
      <c r="X45" s="95"/>
      <c r="Y45" s="95"/>
      <c r="Z45" s="96"/>
      <c r="AC45" s="117"/>
    </row>
    <row r="46" spans="4:29" ht="14.1" customHeight="1" x14ac:dyDescent="0.15">
      <c r="R46" s="89">
        <v>44</v>
      </c>
      <c r="S46" s="99" t="str">
        <f>IF(AND(第５群!B25=4,第５群!B43=1),"「5-3日常の意思決定」が「4.できない」にもかかわらず、「5-5買い物」が「1.介助されていない」","")</f>
        <v/>
      </c>
      <c r="T46" s="95"/>
      <c r="U46" s="95"/>
      <c r="V46" s="95"/>
      <c r="W46" s="95"/>
      <c r="X46" s="95"/>
      <c r="Y46" s="95"/>
      <c r="Z46" s="96"/>
      <c r="AC46" s="117"/>
    </row>
    <row r="47" spans="4:29" ht="14.1" customHeight="1" x14ac:dyDescent="0.15">
      <c r="R47" s="89">
        <v>45</v>
      </c>
      <c r="S47" s="99" t="str">
        <f>IF(AND(第３群!B7=4,第５群!B43=1),"「3-1意思の伝達」が「4.できない」にもかかわらず、「5-5買い物」が「1.介助されていない」","")</f>
        <v/>
      </c>
      <c r="T47" s="95"/>
      <c r="U47" s="95"/>
      <c r="V47" s="95"/>
      <c r="W47" s="95"/>
      <c r="X47" s="95"/>
      <c r="Y47" s="95"/>
      <c r="Z47" s="96"/>
      <c r="AC47" s="117"/>
    </row>
    <row r="48" spans="4:29" ht="14.1" customHeight="1" x14ac:dyDescent="0.15">
      <c r="R48" s="89">
        <v>46</v>
      </c>
      <c r="S48" s="99" t="str">
        <f>IF(AND('第４群 '!B97=3,'第４群 '!B124=1),"「4-11物や衣類を壊す」が「3.ある」にもかかわらず、「4-14自分勝手に行動する」が「1.ない」","")</f>
        <v/>
      </c>
      <c r="T48" s="95"/>
      <c r="U48" s="95"/>
      <c r="V48" s="95"/>
      <c r="W48" s="95"/>
      <c r="X48" s="95"/>
      <c r="Y48" s="95"/>
      <c r="Z48" s="96"/>
      <c r="AC48" s="117"/>
    </row>
    <row r="49" spans="1:29" ht="14.1" customHeight="1" x14ac:dyDescent="0.15">
      <c r="R49" s="89">
        <v>47</v>
      </c>
      <c r="S49" s="99" t="str">
        <f>IF(AND(第１群!B25=3,第１群!B34=1),"「1-3寝返り」が「3.できない」にもかかわらず、「1-4起き上がり」が「1.できる」","")</f>
        <v/>
      </c>
      <c r="T49" s="95"/>
      <c r="U49" s="95"/>
      <c r="V49" s="95"/>
      <c r="W49" s="95"/>
      <c r="X49" s="95"/>
      <c r="Y49" s="95"/>
      <c r="Z49" s="96"/>
      <c r="AC49" s="117"/>
    </row>
    <row r="50" spans="1:29" ht="14.1" customHeight="1" x14ac:dyDescent="0.15">
      <c r="R50" s="89">
        <v>48</v>
      </c>
      <c r="S50" s="99" t="str">
        <f>IF(AND(第１群!B25=3,第１群!B70=1),"「1-3寝返り」が「3.できない」にもかかわらず、「1-8立ち上がり」が「1.できる」","")</f>
        <v/>
      </c>
      <c r="T50" s="95"/>
      <c r="U50" s="95"/>
      <c r="V50" s="95"/>
      <c r="W50" s="95"/>
      <c r="X50" s="95"/>
      <c r="Y50" s="95"/>
      <c r="Z50" s="96"/>
      <c r="AC50" s="117"/>
    </row>
    <row r="51" spans="1:29" ht="14.1" customHeight="1" x14ac:dyDescent="0.15">
      <c r="R51" s="89">
        <v>49</v>
      </c>
      <c r="S51" s="99" t="str">
        <f>IF(AND(第１群!B34=1,第１群!B43=4),"「1-4起き上がり」が「1.できる」にもかかわらず、「1-5座位保持」が「4.できない」","")</f>
        <v/>
      </c>
      <c r="T51" s="95"/>
      <c r="U51" s="95"/>
      <c r="V51" s="95"/>
      <c r="W51" s="95"/>
      <c r="X51" s="95"/>
      <c r="Y51" s="95"/>
      <c r="Z51" s="96"/>
      <c r="AC51" s="117"/>
    </row>
    <row r="52" spans="1:29" ht="14.1" customHeight="1" x14ac:dyDescent="0.15">
      <c r="R52" s="89">
        <v>50</v>
      </c>
      <c r="S52" s="99" t="str">
        <f>IF(AND(第１群!B61=1,第２群!B16=4),"「1-7歩行」が「1.できる」にもかかわらず、「2-2移動」が「4.全介助」","")</f>
        <v/>
      </c>
      <c r="T52" s="95"/>
      <c r="U52" s="95"/>
      <c r="V52" s="95"/>
      <c r="W52" s="95"/>
      <c r="X52" s="95"/>
      <c r="Y52" s="95"/>
      <c r="Z52" s="96"/>
      <c r="AC52" s="117"/>
    </row>
    <row r="53" spans="1:29" ht="14.1" customHeight="1" x14ac:dyDescent="0.15">
      <c r="R53" s="89">
        <v>51</v>
      </c>
      <c r="S53" s="99" t="str">
        <f>IF(AND(第２群!B7=4,第１群!B70=1),"「2-1移乗」が「4.全介助」にもかかわらず、「1-8立ち上がり」が「1.できる」","")</f>
        <v/>
      </c>
      <c r="T53" s="95"/>
      <c r="U53" s="95"/>
      <c r="V53" s="95"/>
      <c r="W53" s="95"/>
      <c r="X53" s="95"/>
      <c r="Y53" s="95"/>
      <c r="Z53" s="96"/>
      <c r="AC53" s="117"/>
    </row>
    <row r="54" spans="1:29" ht="14.1" customHeight="1" x14ac:dyDescent="0.15">
      <c r="R54" s="89">
        <v>52</v>
      </c>
      <c r="S54" s="99" t="str">
        <f>IF(AND(第１群!B88=1,第２群!B70=3),"「1-10洗身」が「1.介助されていない」にもかかわらず、「2-8洗顔」が「3.全介助」","")</f>
        <v/>
      </c>
      <c r="T54" s="95"/>
      <c r="U54" s="95"/>
      <c r="V54" s="95"/>
      <c r="W54" s="95"/>
      <c r="X54" s="95"/>
      <c r="Y54" s="95"/>
      <c r="Z54" s="96"/>
      <c r="AC54" s="117"/>
    </row>
    <row r="55" spans="1:29" ht="14.1" customHeight="1" x14ac:dyDescent="0.15">
      <c r="R55" s="89">
        <v>53</v>
      </c>
      <c r="S55" s="99" t="str">
        <f>IF(AND(第１群!B88=1,第２群!B88=4),"「1-10洗身」が「1.介助されていない」にもかかわらず、「2-10上衣着脱」が「4.全介助」","")</f>
        <v/>
      </c>
      <c r="T55" s="95"/>
      <c r="U55" s="95"/>
      <c r="V55" s="95"/>
      <c r="W55" s="95"/>
      <c r="X55" s="95"/>
      <c r="Y55" s="95"/>
      <c r="Z55" s="96"/>
      <c r="AC55" s="117"/>
    </row>
    <row r="56" spans="1:29" ht="14.1" customHeight="1" x14ac:dyDescent="0.15">
      <c r="R56" s="89">
        <v>54</v>
      </c>
      <c r="S56" s="99" t="str">
        <f>IF(AND(第１群!B88=1,第２群!B97=4),"「1-10洗身」が「1.介助されていない」にもかかわらず、「2-11ズボン着脱」が「4.全介助」","")</f>
        <v/>
      </c>
      <c r="T56" s="95"/>
      <c r="U56" s="95"/>
      <c r="V56" s="95"/>
      <c r="W56" s="95"/>
      <c r="X56" s="95"/>
      <c r="Y56" s="95"/>
      <c r="Z56" s="96"/>
      <c r="AC56" s="117"/>
    </row>
    <row r="57" spans="1:29" ht="14.1" customHeight="1" x14ac:dyDescent="0.15">
      <c r="R57" s="89">
        <v>55</v>
      </c>
      <c r="S57" s="99" t="str">
        <f>IF(AND(第２群!B70=3,第１群!B97=1),"「2-8洗顔」が「3.全介助」にもかかわらず、「1-11つめ切り」が「1.介助されていない」","")</f>
        <v/>
      </c>
      <c r="T57" s="95"/>
      <c r="U57" s="95"/>
      <c r="V57" s="95"/>
      <c r="W57" s="95"/>
      <c r="X57" s="95"/>
      <c r="Y57" s="95"/>
      <c r="Z57" s="96"/>
      <c r="AC57" s="117"/>
    </row>
    <row r="58" spans="1:29" ht="14.1" customHeight="1" x14ac:dyDescent="0.15">
      <c r="R58" s="89">
        <v>56</v>
      </c>
      <c r="S58" s="99" t="str">
        <f>IF(AND(第１群!B97=1,第１群!B106=5),"「1-11つめ切り」が「1.介助されていない」にもかかわらず、「1-12視力」が「5.判断不能」","")</f>
        <v/>
      </c>
      <c r="T58" s="95"/>
      <c r="U58" s="95"/>
      <c r="V58" s="95"/>
      <c r="W58" s="95"/>
      <c r="X58" s="95"/>
      <c r="Y58" s="95"/>
      <c r="Z58" s="96"/>
      <c r="AC58" s="117"/>
    </row>
    <row r="59" spans="1:29" ht="14.1" customHeight="1" x14ac:dyDescent="0.15">
      <c r="R59" s="89">
        <v>57</v>
      </c>
      <c r="S59" s="99" t="str">
        <f>IF(AND(第２群!B88=4,第２群!B97=1),"「2-10上衣着脱」が「4.全介助」にもかかわらず、「2-11ズボン着脱」が「1.介助されていない」","")</f>
        <v/>
      </c>
      <c r="T59" s="95"/>
      <c r="U59" s="95"/>
      <c r="V59" s="95"/>
      <c r="W59" s="95"/>
      <c r="X59" s="95"/>
      <c r="Y59" s="95"/>
      <c r="Z59" s="96"/>
      <c r="AC59" s="117"/>
    </row>
    <row r="60" spans="1:29" ht="14.1" customHeight="1" x14ac:dyDescent="0.15">
      <c r="R60" s="121"/>
      <c r="S60" s="121"/>
      <c r="T60" s="121"/>
      <c r="AC60" s="117"/>
    </row>
    <row r="61" spans="1:29" ht="14.1" customHeight="1" x14ac:dyDescent="0.15">
      <c r="A61" s="83"/>
      <c r="R61" s="121" t="s">
        <v>361</v>
      </c>
      <c r="S61" s="127">
        <f>COUNTIF(S3:S59,"=?*")</f>
        <v>0</v>
      </c>
      <c r="T61" s="121"/>
      <c r="AC61" s="117"/>
    </row>
    <row r="62" spans="1:29" ht="14.1" customHeight="1" x14ac:dyDescent="0.15">
      <c r="A62" s="117"/>
      <c r="B62" s="117"/>
      <c r="C62" s="117"/>
      <c r="D62" s="117"/>
      <c r="E62" s="118"/>
      <c r="F62" s="119"/>
      <c r="G62" s="117"/>
      <c r="H62" s="117"/>
      <c r="I62" s="118"/>
      <c r="J62" s="117"/>
      <c r="K62" s="117"/>
      <c r="L62" s="117"/>
      <c r="M62" s="117"/>
      <c r="N62" s="117"/>
      <c r="O62" s="117"/>
      <c r="P62" s="117"/>
      <c r="Q62" s="117"/>
      <c r="R62" s="117"/>
      <c r="S62" s="117"/>
      <c r="T62" s="117"/>
      <c r="U62" s="117"/>
      <c r="V62" s="117"/>
      <c r="W62" s="117"/>
      <c r="X62" s="117"/>
      <c r="Y62" s="117"/>
      <c r="Z62" s="117"/>
      <c r="AA62" s="117"/>
      <c r="AB62" s="117"/>
      <c r="AC62" s="117"/>
    </row>
  </sheetData>
  <sheetProtection algorithmName="SHA-512" hashValue="Fy1nyOPLZioiTmeacbHWTzLslkVxYe1i8srNcPumvrZuotij/RJM/HblMb60i535x/LSn/3g7eeShLCvqvIVLw==" saltValue="O8KQ7Sm3OlyPu62fR9BR0Q==" spinCount="100000" sheet="1" objects="1" scenarios="1"/>
  <mergeCells count="5">
    <mergeCell ref="R2:Z2"/>
    <mergeCell ref="I25:K25"/>
    <mergeCell ref="J38:L38"/>
    <mergeCell ref="M38:O38"/>
    <mergeCell ref="A2:B2"/>
  </mergeCells>
  <phoneticPr fontId="1"/>
  <conditionalFormatting sqref="A17:A19">
    <cfRule type="expression" dxfId="0" priority="1">
      <formula>$J$2=3</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基本情報</vt:lpstr>
      <vt:lpstr>第１群</vt:lpstr>
      <vt:lpstr>第２群</vt:lpstr>
      <vt:lpstr>第３群</vt:lpstr>
      <vt:lpstr>第４群 </vt:lpstr>
      <vt:lpstr>第５群</vt:lpstr>
      <vt:lpstr>第６，７群 </vt:lpstr>
      <vt:lpstr>計算シート</vt:lpstr>
      <vt:lpstr>エラー</vt:lpstr>
      <vt:lpstr>印刷</vt:lpstr>
      <vt:lpstr>訪問調査票</vt:lpstr>
      <vt:lpstr>特記事項</vt:lpstr>
      <vt:lpstr>使用方法</vt:lpstr>
      <vt:lpstr>特記事項!Print_Area</vt:lpstr>
      <vt:lpstr>訪問調査票!Print_Area</vt:lpstr>
    </vt:vector>
  </TitlesOfParts>
  <Company>（株）日立製作所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倉田学 / Kurata，Manabu</cp:lastModifiedBy>
  <cp:lastPrinted>2021-02-09T04:39:42Z</cp:lastPrinted>
  <dcterms:created xsi:type="dcterms:W3CDTF">2017-02-01T06:22:01Z</dcterms:created>
  <dcterms:modified xsi:type="dcterms:W3CDTF">2024-04-03T03:30:10Z</dcterms:modified>
</cp:coreProperties>
</file>